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Users\PristovsekP-lokalno\PP\Stabilno financiranje\Izračun\2024-01\"/>
    </mc:Choice>
  </mc:AlternateContent>
  <xr:revisionPtr revIDLastSave="0" documentId="13_ncr:1_{ED65B320-B5D5-40C3-AF66-17477BFCED9B}" xr6:coauthVersionLast="36" xr6:coauthVersionMax="36" xr10:uidLastSave="{00000000-0000-0000-0000-000000000000}"/>
  <bookViews>
    <workbookView xWindow="-120" yWindow="-120" windowWidth="29040" windowHeight="15840" xr2:uid="{3BDE425A-6EAF-4C9A-9D16-CE78435F663F}"/>
  </bookViews>
  <sheets>
    <sheet name="2024 IZRAČUN" sheetId="13" r:id="rId1"/>
    <sheet name="2024-PREGLED" sheetId="12" r:id="rId2"/>
  </sheets>
  <definedNames>
    <definedName name="_xlnm._FilterDatabase" localSheetId="0" hidden="1">'2024 IZRAČUN'!$A$1:$R$63</definedName>
    <definedName name="_Hlk108604932" localSheetId="1">'2024-PREGLED'!#REF!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12" l="1"/>
  <c r="I60" i="13" l="1"/>
  <c r="G60" i="13"/>
  <c r="E14" i="12" s="1"/>
  <c r="E17" i="12" s="1"/>
  <c r="F60" i="13"/>
  <c r="E60" i="13"/>
  <c r="E18" i="12" l="1"/>
  <c r="K25" i="13" s="1"/>
  <c r="C6" i="12"/>
  <c r="D6" i="12" s="1"/>
  <c r="H6" i="12" s="1"/>
  <c r="I6" i="12" s="1"/>
  <c r="K2" i="13" l="1"/>
  <c r="E20" i="12"/>
  <c r="E6" i="12"/>
  <c r="G58" i="13" l="1"/>
  <c r="H45" i="13" s="1"/>
  <c r="H2" i="13" l="1"/>
  <c r="H10" i="13"/>
  <c r="H5" i="13"/>
  <c r="H22" i="13"/>
  <c r="H55" i="13"/>
  <c r="H23" i="13"/>
  <c r="H56" i="13"/>
  <c r="H3" i="13"/>
  <c r="H14" i="13"/>
  <c r="H38" i="13"/>
  <c r="H31" i="13"/>
  <c r="H4" i="13"/>
  <c r="H6" i="13"/>
  <c r="H7" i="13"/>
  <c r="H48" i="13"/>
  <c r="H8" i="13"/>
  <c r="H16" i="13"/>
  <c r="H24" i="13"/>
  <c r="H32" i="13"/>
  <c r="H40" i="13"/>
  <c r="H49" i="13"/>
  <c r="H57" i="13"/>
  <c r="H9" i="13"/>
  <c r="H17" i="13"/>
  <c r="H25" i="13"/>
  <c r="H33" i="13"/>
  <c r="H41" i="13"/>
  <c r="H50" i="13"/>
  <c r="H18" i="13"/>
  <c r="H26" i="13"/>
  <c r="H34" i="13"/>
  <c r="H42" i="13"/>
  <c r="H51" i="13"/>
  <c r="H11" i="13"/>
  <c r="H19" i="13"/>
  <c r="H27" i="13"/>
  <c r="H35" i="13"/>
  <c r="H43" i="13"/>
  <c r="H52" i="13"/>
  <c r="H12" i="13"/>
  <c r="H20" i="13"/>
  <c r="H28" i="13"/>
  <c r="H36" i="13"/>
  <c r="H44" i="13"/>
  <c r="H53" i="13"/>
  <c r="H13" i="13"/>
  <c r="H21" i="13"/>
  <c r="H29" i="13"/>
  <c r="H37" i="13"/>
  <c r="H54" i="13"/>
  <c r="H30" i="13"/>
  <c r="H47" i="13"/>
  <c r="H15" i="13"/>
  <c r="H39" i="13"/>
  <c r="K10" i="13"/>
  <c r="K42" i="13"/>
  <c r="Q42" i="13" s="1"/>
  <c r="K21" i="13"/>
  <c r="Q21" i="13" s="1"/>
  <c r="K37" i="13"/>
  <c r="Q37" i="13" s="1"/>
  <c r="K53" i="13"/>
  <c r="Q53" i="13" s="1"/>
  <c r="K14" i="13"/>
  <c r="K30" i="13"/>
  <c r="Q30" i="13" s="1"/>
  <c r="K7" i="13"/>
  <c r="Q7" i="13" s="1"/>
  <c r="K31" i="13"/>
  <c r="K47" i="13"/>
  <c r="K8" i="13"/>
  <c r="Q8" i="13" s="1"/>
  <c r="K16" i="13"/>
  <c r="Q16" i="13" s="1"/>
  <c r="K24" i="13"/>
  <c r="K32" i="13"/>
  <c r="K40" i="13"/>
  <c r="K48" i="13"/>
  <c r="K56" i="13"/>
  <c r="Q56" i="13" s="1"/>
  <c r="K9" i="13"/>
  <c r="Q9" i="13" s="1"/>
  <c r="K17" i="13"/>
  <c r="Q17" i="13" s="1"/>
  <c r="Q25" i="13"/>
  <c r="K33" i="13"/>
  <c r="K41" i="13"/>
  <c r="K49" i="13"/>
  <c r="Q49" i="13" s="1"/>
  <c r="K57" i="13"/>
  <c r="Q57" i="13" s="1"/>
  <c r="K18" i="13"/>
  <c r="K26" i="13"/>
  <c r="Q26" i="13" s="1"/>
  <c r="K34" i="13"/>
  <c r="Q34" i="13" s="1"/>
  <c r="K50" i="13"/>
  <c r="K3" i="13"/>
  <c r="Q3" i="13" s="1"/>
  <c r="K11" i="13"/>
  <c r="K19" i="13"/>
  <c r="Q19" i="13" s="1"/>
  <c r="K27" i="13"/>
  <c r="Q27" i="13" s="1"/>
  <c r="K35" i="13"/>
  <c r="Q35" i="13" s="1"/>
  <c r="K43" i="13"/>
  <c r="K51" i="13"/>
  <c r="Q51" i="13" s="1"/>
  <c r="K4" i="13"/>
  <c r="Q4" i="13" s="1"/>
  <c r="K12" i="13"/>
  <c r="Q12" i="13" s="1"/>
  <c r="K20" i="13"/>
  <c r="Q20" i="13" s="1"/>
  <c r="K28" i="13"/>
  <c r="Q28" i="13" s="1"/>
  <c r="K36" i="13"/>
  <c r="K44" i="13"/>
  <c r="Q44" i="13" s="1"/>
  <c r="K52" i="13"/>
  <c r="K5" i="13"/>
  <c r="Q5" i="13" s="1"/>
  <c r="K13" i="13"/>
  <c r="Q13" i="13" s="1"/>
  <c r="K29" i="13"/>
  <c r="K45" i="13"/>
  <c r="Q45" i="13" s="1"/>
  <c r="K6" i="13"/>
  <c r="Q6" i="13" s="1"/>
  <c r="K22" i="13"/>
  <c r="Q22" i="13" s="1"/>
  <c r="K38" i="13"/>
  <c r="Q38" i="13" s="1"/>
  <c r="K54" i="13"/>
  <c r="K15" i="13"/>
  <c r="Q15" i="13" s="1"/>
  <c r="K23" i="13"/>
  <c r="Q23" i="13" s="1"/>
  <c r="K39" i="13"/>
  <c r="Q39" i="13" s="1"/>
  <c r="K55" i="13"/>
  <c r="Q55" i="13" s="1"/>
  <c r="C60" i="13"/>
  <c r="C62" i="13" s="1"/>
  <c r="E58" i="13"/>
  <c r="C58" i="13"/>
  <c r="Q54" i="13"/>
  <c r="Q52" i="13"/>
  <c r="Q50" i="13"/>
  <c r="Q48" i="13"/>
  <c r="Q47" i="13"/>
  <c r="Q46" i="13"/>
  <c r="Q43" i="13"/>
  <c r="Q41" i="13"/>
  <c r="Q40" i="13"/>
  <c r="Q36" i="13"/>
  <c r="Q33" i="13"/>
  <c r="Q32" i="13"/>
  <c r="Q31" i="13"/>
  <c r="Q29" i="13"/>
  <c r="Q18" i="13"/>
  <c r="Q14" i="13"/>
  <c r="Q11" i="13"/>
  <c r="Q10" i="13"/>
  <c r="Q2" i="13"/>
  <c r="Q24" i="13" l="1"/>
  <c r="K58" i="13"/>
  <c r="K60" i="13"/>
  <c r="I58" i="13"/>
  <c r="Q58" i="13" l="1"/>
  <c r="E5" i="12" l="1"/>
  <c r="E7" i="12" s="1"/>
  <c r="E11" i="12" s="1"/>
  <c r="F58" i="13"/>
  <c r="E12" i="12" l="1"/>
  <c r="D7" i="12"/>
  <c r="C7" i="12" l="1"/>
  <c r="G9" i="12"/>
  <c r="G10" i="12" l="1"/>
  <c r="E9" i="12"/>
  <c r="E10" i="12"/>
  <c r="E19" i="12"/>
  <c r="E23" i="12"/>
  <c r="K61" i="13" s="1"/>
  <c r="G12" i="12" l="1"/>
  <c r="J25" i="13"/>
  <c r="H60" i="13"/>
  <c r="H58" i="13"/>
  <c r="H61" i="13" s="1"/>
  <c r="E24" i="12"/>
  <c r="E25" i="12" s="1"/>
  <c r="E26" i="12" s="1"/>
  <c r="F61" i="13"/>
  <c r="J2" i="13" l="1"/>
  <c r="J8" i="13"/>
  <c r="J16" i="13"/>
  <c r="J24" i="13"/>
  <c r="J32" i="13"/>
  <c r="J40" i="13"/>
  <c r="J48" i="13"/>
  <c r="J56" i="13"/>
  <c r="J3" i="13"/>
  <c r="J27" i="13"/>
  <c r="J51" i="13"/>
  <c r="J4" i="13"/>
  <c r="J36" i="13"/>
  <c r="J9" i="13"/>
  <c r="J17" i="13"/>
  <c r="J33" i="13"/>
  <c r="J41" i="13"/>
  <c r="J49" i="13"/>
  <c r="J57" i="13"/>
  <c r="J10" i="13"/>
  <c r="J18" i="13"/>
  <c r="J26" i="13"/>
  <c r="J42" i="13"/>
  <c r="J50" i="13"/>
  <c r="J19" i="13"/>
  <c r="J35" i="13"/>
  <c r="J43" i="13"/>
  <c r="J28" i="13"/>
  <c r="J52" i="13"/>
  <c r="J5" i="13"/>
  <c r="J45" i="13"/>
  <c r="J30" i="13"/>
  <c r="J54" i="13"/>
  <c r="J34" i="13"/>
  <c r="J12" i="13"/>
  <c r="J44" i="13"/>
  <c r="J29" i="13"/>
  <c r="J53" i="13"/>
  <c r="J14" i="13"/>
  <c r="J11" i="13"/>
  <c r="J13" i="13"/>
  <c r="J22" i="13"/>
  <c r="J20" i="13"/>
  <c r="J21" i="13"/>
  <c r="J6" i="13"/>
  <c r="J7" i="13"/>
  <c r="J15" i="13"/>
  <c r="J23" i="13"/>
  <c r="J31" i="13"/>
  <c r="J39" i="13"/>
  <c r="J47" i="13"/>
  <c r="J55" i="13"/>
  <c r="J37" i="13"/>
  <c r="J38" i="13"/>
  <c r="E13" i="12"/>
  <c r="L46" i="13" l="1"/>
  <c r="O44" i="13" l="1"/>
  <c r="P44" i="13"/>
  <c r="L44" i="13"/>
  <c r="O40" i="13"/>
  <c r="L40" i="13"/>
  <c r="P40" i="13"/>
  <c r="O20" i="13"/>
  <c r="L20" i="13"/>
  <c r="P20" i="13"/>
  <c r="P9" i="13"/>
  <c r="O9" i="13"/>
  <c r="L9" i="13"/>
  <c r="O52" i="13"/>
  <c r="P52" i="13"/>
  <c r="L52" i="13"/>
  <c r="O25" i="13"/>
  <c r="P25" i="13"/>
  <c r="L25" i="13"/>
  <c r="P11" i="13"/>
  <c r="O11" i="13"/>
  <c r="L11" i="13"/>
  <c r="O27" i="13"/>
  <c r="P27" i="13"/>
  <c r="L27" i="13"/>
  <c r="P3" i="13"/>
  <c r="L3" i="13"/>
  <c r="O3" i="13"/>
  <c r="P32" i="13"/>
  <c r="O32" i="13"/>
  <c r="L32" i="13"/>
  <c r="L47" i="13"/>
  <c r="N47" i="13" s="1"/>
  <c r="O47" i="13"/>
  <c r="P47" i="13"/>
  <c r="L55" i="13"/>
  <c r="O55" i="13"/>
  <c r="P55" i="13"/>
  <c r="L6" i="13"/>
  <c r="O6" i="13"/>
  <c r="P6" i="13"/>
  <c r="L16" i="13"/>
  <c r="O16" i="13"/>
  <c r="P16" i="13"/>
  <c r="P57" i="13"/>
  <c r="O57" i="13"/>
  <c r="L57" i="13"/>
  <c r="O21" i="13"/>
  <c r="P21" i="13"/>
  <c r="L21" i="13"/>
  <c r="P37" i="13"/>
  <c r="O37" i="13"/>
  <c r="L37" i="13"/>
  <c r="L29" i="13"/>
  <c r="P29" i="13"/>
  <c r="O29" i="13"/>
  <c r="L42" i="13"/>
  <c r="O42" i="13"/>
  <c r="P42" i="13"/>
  <c r="L48" i="13"/>
  <c r="P48" i="13"/>
  <c r="O48" i="13"/>
  <c r="P31" i="13"/>
  <c r="L31" i="13"/>
  <c r="O31" i="13"/>
  <c r="L26" i="13"/>
  <c r="O26" i="13"/>
  <c r="P26" i="13"/>
  <c r="O33" i="13"/>
  <c r="P33" i="13"/>
  <c r="L33" i="13"/>
  <c r="P5" i="13"/>
  <c r="O5" i="13"/>
  <c r="L5" i="13"/>
  <c r="P53" i="13"/>
  <c r="O53" i="13"/>
  <c r="L53" i="13"/>
  <c r="O14" i="13"/>
  <c r="P14" i="13"/>
  <c r="L14" i="13"/>
  <c r="P35" i="13"/>
  <c r="L35" i="13"/>
  <c r="O35" i="13"/>
  <c r="L22" i="13"/>
  <c r="P22" i="13"/>
  <c r="O22" i="13"/>
  <c r="P7" i="13"/>
  <c r="L7" i="13"/>
  <c r="O7" i="13"/>
  <c r="L49" i="13"/>
  <c r="O49" i="13"/>
  <c r="P49" i="13"/>
  <c r="P18" i="13"/>
  <c r="L18" i="13"/>
  <c r="O18" i="13"/>
  <c r="O23" i="13"/>
  <c r="P23" i="13"/>
  <c r="L23" i="13"/>
  <c r="L4" i="13"/>
  <c r="O4" i="13"/>
  <c r="P4" i="13"/>
  <c r="L45" i="13"/>
  <c r="O45" i="13"/>
  <c r="P45" i="13"/>
  <c r="P41" i="13"/>
  <c r="O41" i="13"/>
  <c r="L41" i="13"/>
  <c r="O51" i="13"/>
  <c r="P51" i="13"/>
  <c r="L51" i="13"/>
  <c r="O12" i="13"/>
  <c r="L12" i="13"/>
  <c r="P12" i="13"/>
  <c r="O30" i="13"/>
  <c r="P30" i="13"/>
  <c r="L30" i="13"/>
  <c r="O2" i="13"/>
  <c r="P2" i="13"/>
  <c r="J60" i="13"/>
  <c r="J61" i="13" s="1"/>
  <c r="L2" i="13"/>
  <c r="N2" i="13" s="1"/>
  <c r="J58" i="13"/>
  <c r="P54" i="13"/>
  <c r="O54" i="13"/>
  <c r="L54" i="13"/>
  <c r="P15" i="13"/>
  <c r="O15" i="13"/>
  <c r="L15" i="13"/>
  <c r="P28" i="13"/>
  <c r="L28" i="13"/>
  <c r="O28" i="13"/>
  <c r="O17" i="13"/>
  <c r="P17" i="13"/>
  <c r="L17" i="13"/>
  <c r="L13" i="13"/>
  <c r="P13" i="13"/>
  <c r="O13" i="13"/>
  <c r="L34" i="13"/>
  <c r="P34" i="13"/>
  <c r="O34" i="13"/>
  <c r="P56" i="13"/>
  <c r="O56" i="13"/>
  <c r="L56" i="13"/>
  <c r="N56" i="13" s="1"/>
  <c r="P19" i="13"/>
  <c r="L19" i="13"/>
  <c r="O19" i="13"/>
  <c r="O43" i="13"/>
  <c r="P43" i="13"/>
  <c r="L43" i="13"/>
  <c r="O24" i="13"/>
  <c r="L24" i="13"/>
  <c r="P24" i="13"/>
  <c r="P39" i="13"/>
  <c r="O39" i="13"/>
  <c r="L39" i="13"/>
  <c r="O8" i="13"/>
  <c r="P8" i="13"/>
  <c r="L8" i="13"/>
  <c r="L38" i="13"/>
  <c r="O38" i="13"/>
  <c r="P38" i="13"/>
  <c r="O50" i="13"/>
  <c r="P50" i="13"/>
  <c r="L50" i="13"/>
  <c r="P36" i="13"/>
  <c r="L36" i="13"/>
  <c r="O36" i="13"/>
  <c r="L10" i="13"/>
  <c r="P10" i="13"/>
  <c r="O10" i="13"/>
  <c r="M46" i="13"/>
  <c r="N54" i="13" l="1"/>
  <c r="M54" i="13"/>
  <c r="R54" i="13" s="1"/>
  <c r="N35" i="13"/>
  <c r="M35" i="13"/>
  <c r="R35" i="13" s="1"/>
  <c r="N28" i="13"/>
  <c r="M28" i="13"/>
  <c r="R28" i="13" s="1"/>
  <c r="M42" i="13"/>
  <c r="R42" i="13" s="1"/>
  <c r="N42" i="13"/>
  <c r="M47" i="13"/>
  <c r="R47" i="13" s="1"/>
  <c r="M50" i="13"/>
  <c r="R50" i="13" s="1"/>
  <c r="N50" i="13"/>
  <c r="M4" i="13"/>
  <c r="R4" i="13" s="1"/>
  <c r="N4" i="13"/>
  <c r="M39" i="13"/>
  <c r="R39" i="13" s="1"/>
  <c r="N39" i="13"/>
  <c r="M23" i="13"/>
  <c r="R23" i="13" s="1"/>
  <c r="N23" i="13"/>
  <c r="N26" i="13"/>
  <c r="M26" i="13"/>
  <c r="R26" i="13" s="1"/>
  <c r="M16" i="13"/>
  <c r="R16" i="13" s="1"/>
  <c r="N16" i="13"/>
  <c r="N34" i="13"/>
  <c r="M34" i="13"/>
  <c r="R34" i="13" s="1"/>
  <c r="M52" i="13"/>
  <c r="R52" i="13" s="1"/>
  <c r="N52" i="13"/>
  <c r="M19" i="13"/>
  <c r="R19" i="13" s="1"/>
  <c r="N19" i="13"/>
  <c r="M2" i="13"/>
  <c r="L58" i="13"/>
  <c r="L60" i="13"/>
  <c r="L61" i="13" s="1"/>
  <c r="N12" i="13"/>
  <c r="M12" i="13"/>
  <c r="R12" i="13" s="1"/>
  <c r="N7" i="13"/>
  <c r="M7" i="13"/>
  <c r="R7" i="13" s="1"/>
  <c r="N14" i="13"/>
  <c r="M14" i="13"/>
  <c r="R14" i="13" s="1"/>
  <c r="M31" i="13"/>
  <c r="R31" i="13" s="1"/>
  <c r="N31" i="13"/>
  <c r="M32" i="13"/>
  <c r="R32" i="13" s="1"/>
  <c r="N32" i="13"/>
  <c r="N43" i="13"/>
  <c r="M43" i="13"/>
  <c r="R43" i="13" s="1"/>
  <c r="M49" i="13"/>
  <c r="R49" i="13" s="1"/>
  <c r="N49" i="13"/>
  <c r="N21" i="13"/>
  <c r="M21" i="13"/>
  <c r="R21" i="13" s="1"/>
  <c r="N20" i="13"/>
  <c r="M20" i="13"/>
  <c r="R20" i="13" s="1"/>
  <c r="N10" i="13"/>
  <c r="M10" i="13"/>
  <c r="R10" i="13" s="1"/>
  <c r="N15" i="13"/>
  <c r="M15" i="13"/>
  <c r="R15" i="13" s="1"/>
  <c r="M33" i="13"/>
  <c r="R33" i="13" s="1"/>
  <c r="N33" i="13"/>
  <c r="N57" i="13"/>
  <c r="M57" i="13"/>
  <c r="R57" i="13" s="1"/>
  <c r="N6" i="13"/>
  <c r="M6" i="13"/>
  <c r="R6" i="13" s="1"/>
  <c r="M11" i="13"/>
  <c r="R11" i="13" s="1"/>
  <c r="N11" i="13"/>
  <c r="N40" i="13"/>
  <c r="M40" i="13"/>
  <c r="R40" i="13" s="1"/>
  <c r="N22" i="13"/>
  <c r="M22" i="13"/>
  <c r="R22" i="13" s="1"/>
  <c r="N41" i="13"/>
  <c r="M41" i="13"/>
  <c r="R41" i="13" s="1"/>
  <c r="M5" i="13"/>
  <c r="R5" i="13" s="1"/>
  <c r="N5" i="13"/>
  <c r="N27" i="13"/>
  <c r="M27" i="13"/>
  <c r="R27" i="13" s="1"/>
  <c r="M38" i="13"/>
  <c r="R38" i="13" s="1"/>
  <c r="N38" i="13"/>
  <c r="N24" i="13"/>
  <c r="M24" i="13"/>
  <c r="R24" i="13" s="1"/>
  <c r="M56" i="13"/>
  <c r="R56" i="13" s="1"/>
  <c r="M13" i="13"/>
  <c r="R13" i="13" s="1"/>
  <c r="N13" i="13"/>
  <c r="P58" i="13"/>
  <c r="M51" i="13"/>
  <c r="R51" i="13" s="1"/>
  <c r="N51" i="13"/>
  <c r="M45" i="13"/>
  <c r="R45" i="13" s="1"/>
  <c r="N45" i="13"/>
  <c r="M18" i="13"/>
  <c r="R18" i="13" s="1"/>
  <c r="N18" i="13"/>
  <c r="M29" i="13"/>
  <c r="R29" i="13" s="1"/>
  <c r="N29" i="13"/>
  <c r="N9" i="13"/>
  <c r="M9" i="13"/>
  <c r="R9" i="13" s="1"/>
  <c r="M36" i="13"/>
  <c r="R36" i="13" s="1"/>
  <c r="N36" i="13"/>
  <c r="N8" i="13"/>
  <c r="M8" i="13"/>
  <c r="R8" i="13" s="1"/>
  <c r="M17" i="13"/>
  <c r="R17" i="13" s="1"/>
  <c r="N17" i="13"/>
  <c r="O58" i="13"/>
  <c r="N53" i="13"/>
  <c r="M53" i="13"/>
  <c r="R53" i="13" s="1"/>
  <c r="M37" i="13"/>
  <c r="R37" i="13" s="1"/>
  <c r="N37" i="13"/>
  <c r="M44" i="13"/>
  <c r="R44" i="13" s="1"/>
  <c r="N44" i="13"/>
  <c r="N30" i="13"/>
  <c r="M30" i="13"/>
  <c r="R30" i="13" s="1"/>
  <c r="M48" i="13"/>
  <c r="R48" i="13" s="1"/>
  <c r="N48" i="13"/>
  <c r="M55" i="13"/>
  <c r="R55" i="13" s="1"/>
  <c r="N55" i="13"/>
  <c r="M3" i="13"/>
  <c r="R3" i="13" s="1"/>
  <c r="N3" i="13"/>
  <c r="M25" i="13"/>
  <c r="R25" i="13" s="1"/>
  <c r="N25" i="13"/>
  <c r="N58" i="13" l="1"/>
  <c r="N60" i="13"/>
  <c r="N61" i="13" s="1"/>
  <c r="R2" i="13"/>
  <c r="M60" i="13"/>
  <c r="M61" i="13" s="1"/>
  <c r="M58" i="13"/>
  <c r="R58" i="13" l="1"/>
  <c r="R60" i="13"/>
  <c r="R61"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Pristovšek Primož</author>
  </authors>
  <commentList>
    <comment ref="D1" authorId="0" shapeId="0" xr:uid="{81F15C02-4AEF-4383-B0C2-5EF06642217B}">
      <text>
        <r>
          <rPr>
            <b/>
            <sz val="9"/>
            <color rgb="FF000000"/>
            <rFont val="Segoe UI"/>
            <family val="2"/>
            <charset val="238"/>
          </rPr>
          <t>Pristovšek Primož:
103/3 ZZrID: (3) Odpravljanje nesorazmerij se izvede pri raziskovalnih in infrastrukturnih programih, mladih raziskovalcih ter ustanoviteljskih obveznostih vključno s povračili stroškov v zvezi z delom za vse prejemnike stabilnega financiranja, ki bodo imeli na dan začetka uporabe tega zakona raziskovalni program kot matična raziskovalna organizacija</t>
        </r>
        <r>
          <rPr>
            <sz val="9"/>
            <color rgb="FF000000"/>
            <rFont val="Segoe UI"/>
            <family val="2"/>
            <charset val="238"/>
          </rPr>
          <t xml:space="preserve">
</t>
        </r>
      </text>
    </comment>
    <comment ref="G1" authorId="0" shapeId="0" xr:uid="{08565BF0-B17C-4BF2-BFCD-31CFA08390E4}">
      <text>
        <r>
          <rPr>
            <b/>
            <sz val="9"/>
            <color indexed="81"/>
            <rFont val="Segoe UI"/>
            <family val="2"/>
            <charset val="238"/>
          </rPr>
          <t>Pristovšek Primož:</t>
        </r>
        <r>
          <rPr>
            <sz val="9"/>
            <color indexed="81"/>
            <rFont val="Segoe UI"/>
            <family val="2"/>
            <charset val="238"/>
          </rPr>
          <t xml:space="preserve">
ZZrID 93/(3) Sredstva za RSF se prvič dodelijo v letu 2023 in so do izteka prvega pogodbenega obdobja nespremenjena.
ZZrID 26/(2) Sredstva za RSF-O so največ 10 % vsote sredstev ISF-O in PSF-O in se za vse prejemnike stabilnega financiranja določijo v enakem deležu.
MVZI 410-7/2023/22: Za izračun RSF-O se po 2. odstavku 26. člena ZZRID po mnenju MVZI uporabi vsota obsega v letu 2022 in povečanje vsote ISF- O in PSF-O, ki vključuje tudi znesek odprave nesorazmerij.</t>
        </r>
      </text>
    </comment>
    <comment ref="H1" authorId="0" shapeId="0" xr:uid="{0ED324A8-D31A-41CE-9242-FE9D26208929}">
      <text>
        <r>
          <rPr>
            <b/>
            <sz val="9"/>
            <color indexed="81"/>
            <rFont val="Segoe UI"/>
            <family val="2"/>
            <charset val="238"/>
          </rPr>
          <t>Pristovšek Primož:</t>
        </r>
        <r>
          <rPr>
            <sz val="9"/>
            <color indexed="81"/>
            <rFont val="Segoe UI"/>
            <family val="2"/>
            <charset val="238"/>
          </rPr>
          <t xml:space="preserve">
ZZrID 93/(3) Sredstva za RSF se prvič dodelijo v letu 2023 in so do izteka prvega pogodbenega obdobja nespremenjena.*
ZZrID 26/(2) Sredstva za RSF-O so največ 10 % vsote sredstev ISF-O in PSF-O in se za vse prejemnike stabilnega financiranja določijo v enakem deležu.**
*,**: Zavod BRIS je imel v 2023 delež 476,43 EUR v RSF, ki se v letu 2024 zaradi * razdeli sorazmerno med preostale prejemnike
 stabilnega financiranja
MVZI 410-7/2023/22: Za izračun RSF-O se po 2. odstavku 26. člena ZZRID po mnenju MVZI uporabi vsota obsega v letu 2022 in povečanje vsote ISF- O in PSF-O, ki vključuje tudi znesek odprave nesorazmerij.</t>
        </r>
      </text>
    </comment>
    <comment ref="K1" authorId="0" shapeId="0" xr:uid="{C457C27A-3A64-4FFC-8D85-7F099E832EDC}">
      <text>
        <r>
          <rPr>
            <b/>
            <sz val="9"/>
            <color indexed="81"/>
            <rFont val="Segoe UI"/>
            <family val="2"/>
            <charset val="238"/>
          </rPr>
          <t>Pristovšek Primož:</t>
        </r>
        <r>
          <rPr>
            <sz val="9"/>
            <color indexed="81"/>
            <rFont val="Segoe UI"/>
            <family val="2"/>
            <charset val="238"/>
          </rPr>
          <t xml:space="preserve">
ZZrID 93/5: dodelitev sredstev za odpravo nesorazmerij na podlagi 103. člena se začne izvajati v drugem letu prvega pogodbenega obdobja. 
ZZrID 103/9: Do vzpostavitve ciljnega stanja iz tega člena, se največ ena četrtina letne rasti državnih proračunskih sredstev za znanstvenoraziskovalno dejavnost ministrstva, pristojnega za znanost, namenjenih vsoti ISF in PSF, uporabi za namene iz tega člena.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Pristovšek Primož</author>
  </authors>
  <commentList>
    <comment ref="E5" authorId="0" shapeId="0" xr:uid="{9DB89740-D492-4655-88DE-D6280CAFA3D4}">
      <text>
        <r>
          <rPr>
            <b/>
            <sz val="9"/>
            <color indexed="81"/>
            <rFont val="Segoe UI"/>
            <family val="2"/>
            <charset val="238"/>
          </rPr>
          <t>Pristovšek Primož:</t>
        </r>
        <r>
          <rPr>
            <sz val="9"/>
            <color indexed="81"/>
            <rFont val="Segoe UI"/>
            <family val="2"/>
            <charset val="238"/>
          </rPr>
          <t xml:space="preserve">
</t>
        </r>
      </text>
    </comment>
    <comment ref="B9" authorId="0" shapeId="0" xr:uid="{9B2C76A0-C0B9-4FF5-BB63-7A748B9A730F}">
      <text>
        <r>
          <rPr>
            <b/>
            <sz val="9"/>
            <color indexed="81"/>
            <rFont val="Segoe UI"/>
            <family val="2"/>
            <charset val="238"/>
          </rPr>
          <t>Pristovšek Primož:</t>
        </r>
        <r>
          <rPr>
            <sz val="9"/>
            <color indexed="81"/>
            <rFont val="Segoe UI"/>
            <family val="2"/>
            <charset val="238"/>
          </rPr>
          <t xml:space="preserve">
EPP 410-293/2022-7 z dne 22.12.2023
rok 45 dni: 5.2.2024</t>
        </r>
      </text>
    </comment>
  </commentList>
</comments>
</file>

<file path=xl/sharedStrings.xml><?xml version="1.0" encoding="utf-8"?>
<sst xmlns="http://schemas.openxmlformats.org/spreadsheetml/2006/main" count="191" uniqueCount="133">
  <si>
    <t>Šifra RO</t>
  </si>
  <si>
    <t>Naziv</t>
  </si>
  <si>
    <t>Inštitut za matematiko, fiziko in mehaniko</t>
  </si>
  <si>
    <t>Kemijski inštitut</t>
  </si>
  <si>
    <t>Nacionalni inštitut za biologijo</t>
  </si>
  <si>
    <t>Institut "Jožef Stefan"</t>
  </si>
  <si>
    <t>Center za uporabno matematiko in teoretično fiziko Univerze v Mariboru</t>
  </si>
  <si>
    <t>Inštitut za kovinske materiale in tehnologije</t>
  </si>
  <si>
    <t>Geološki zavod Slovenije</t>
  </si>
  <si>
    <t>ONKOLOŠKI INŠTITUT LJUBLJANA</t>
  </si>
  <si>
    <t>Univerzitetni rehabilitacijski inštitut Republike Slovenije - Soča</t>
  </si>
  <si>
    <t>Zavod Republike Slovenije za transfuzijsko medicino</t>
  </si>
  <si>
    <t>Univerzitetni klinični center Ljubljana</t>
  </si>
  <si>
    <t>Univerzitetni klinični center Maribor</t>
  </si>
  <si>
    <t>Ortopedska bolnišnica Valdoltra</t>
  </si>
  <si>
    <t>Mirovni inštitut</t>
  </si>
  <si>
    <t>Kmetijski inštitut Slovenije</t>
  </si>
  <si>
    <t>Gozdarski inštitut Slovenije</t>
  </si>
  <si>
    <t>Inštitut za hmeljarstvo in pivovarstvo Slovenije</t>
  </si>
  <si>
    <t>ALMA MATER EUROPAEA - FAKULTETA ZA HUMANISTIČNI ŠTUDIJ, INSTITUTUM STUDIORUM HUMANITATIS, LJUBLJANA</t>
  </si>
  <si>
    <t>Inštitut za novejšo zgodovino</t>
  </si>
  <si>
    <t>Inštitut za ekonomska raziskovanja</t>
  </si>
  <si>
    <t>Inštitut za kriminologijo pri Pravni fakulteti v Ljubljani</t>
  </si>
  <si>
    <t>Urbanistični inštitut Republike Slovenije</t>
  </si>
  <si>
    <t>Inštitut za narodnostna vprašanja</t>
  </si>
  <si>
    <t>Univerza v Ljubljani</t>
  </si>
  <si>
    <t>Univerza v Mariboru</t>
  </si>
  <si>
    <t>Pedagoški inštitut</t>
  </si>
  <si>
    <t>NARODNI MUZEJ SLOVENIJE</t>
  </si>
  <si>
    <t>Prirodoslovni muzej Slovenije</t>
  </si>
  <si>
    <t>Znanstvenoraziskovalni center Slovenske akademije znanosti in umetnosti</t>
  </si>
  <si>
    <t>Slovenski etnografski muzej</t>
  </si>
  <si>
    <t>Znanstveno-raziskovalno središče Bistra Ptuj</t>
  </si>
  <si>
    <t>Inštitut za hidravlične raziskave, Ljubljana</t>
  </si>
  <si>
    <t>Zavod za gradbeništvo Slovenije</t>
  </si>
  <si>
    <t>Znanstveno-raziskovalno središče Koper</t>
  </si>
  <si>
    <t>Razvojni center orodjarstva Slovenije</t>
  </si>
  <si>
    <t>Univerza v Novi Gorici</t>
  </si>
  <si>
    <t>Inštitut za primerjalno pravo pri Pravni fakulteti v Ljubljani</t>
  </si>
  <si>
    <t>Univerzitetna klinika za pljučne bolezni in alergijo Golnik</t>
  </si>
  <si>
    <t>Univerzitetna psihiatrična klinika Ljubljana</t>
  </si>
  <si>
    <t>ICK, inštitut za civilizacijo in kulturo Ljubljana</t>
  </si>
  <si>
    <t>Univerza na Primorskem Universita del Litorale</t>
  </si>
  <si>
    <t>Mednarodna podiplomska šola Jožefa Stefana</t>
  </si>
  <si>
    <t>INŠTITUT NOVE REVIJE, zavod za humanistiko</t>
  </si>
  <si>
    <t>Inštitut za razvojne in strateške analize</t>
  </si>
  <si>
    <t>Mednarodna fakulteta za družbene in poslovne študije</t>
  </si>
  <si>
    <t>Inovacijsko - razvojni inštitut Univerze v Ljubljani</t>
  </si>
  <si>
    <t>Študijski center za narodno spravo</t>
  </si>
  <si>
    <t>ALMA MATER EUROPAEA - Evropski center, Maribor</t>
  </si>
  <si>
    <t>Fakulteta za informacijske študije v Novem mestu</t>
  </si>
  <si>
    <t>VIST - Fakulteta za aplikativne vede</t>
  </si>
  <si>
    <t>INŠTITUT ZA NUTRICIONISTIKO, Ljubljana</t>
  </si>
  <si>
    <t>Center odličnosti za biosenzoriko, instrumentacijo in procesno kontrolo</t>
  </si>
  <si>
    <t>NACIONALNI INŠTITUT ZA JAVNO ZDRAVJE</t>
  </si>
  <si>
    <t>NACIONALNI LABORATORIJ ZA ZDRAVJE, OKOLJE IN HRANO</t>
  </si>
  <si>
    <t>Inštitut IRRIS za raziskave, razvoj in strategije družbe, kulture in okolja</t>
  </si>
  <si>
    <t>MATIČNA RO vsaj enemu RPROG</t>
  </si>
  <si>
    <t>DA</t>
  </si>
  <si>
    <t>NE</t>
  </si>
  <si>
    <t>VSOTA</t>
  </si>
  <si>
    <t>kontrola</t>
  </si>
  <si>
    <t>Izravnava nesorazmerij total (sklep 15.7.2022)</t>
  </si>
  <si>
    <t>11/12</t>
  </si>
  <si>
    <t>Vsota</t>
  </si>
  <si>
    <t>Prirast stabilnega financiranja</t>
  </si>
  <si>
    <t>kontrola
Delež RSF v ISF+PSF</t>
  </si>
  <si>
    <t>kontrola - vsota</t>
  </si>
  <si>
    <t>letna rast sredstev, namenjenih vsoti ISF in PSF</t>
  </si>
  <si>
    <t xml:space="preserve">  kontrola</t>
  </si>
  <si>
    <t>sredstva za izravnavo nesorazmerij (sklep z dne 15. 7. 2022)</t>
  </si>
  <si>
    <t>kontrola ISF+PSF brez nesor.</t>
  </si>
  <si>
    <t>kontrola izravnave nesoraz.</t>
  </si>
  <si>
    <t>Zavod Biomedicinski Raziskovalni Inštitut*</t>
  </si>
  <si>
    <t xml:space="preserve">    delež teh sredstev v celotni izravnavi nesorazmerij</t>
  </si>
  <si>
    <t>izravnava centov</t>
  </si>
  <si>
    <t>*nastopa v izračunu, ni uvrščen v izplačila</t>
  </si>
  <si>
    <t>(ISF + PSF)t-1, t=2024</t>
  </si>
  <si>
    <t>Skupaj obseg stabilnega financiranja v letu 2024</t>
  </si>
  <si>
    <t xml:space="preserve">  izplačano 2023</t>
  </si>
  <si>
    <t xml:space="preserve">  izplačano 2024</t>
  </si>
  <si>
    <t xml:space="preserve">  naslednji trije obroki 2025-2027 (ZZrID 93/5)</t>
  </si>
  <si>
    <t>Stabilno financiranje 2024</t>
  </si>
  <si>
    <t>(ISF-O + PSF-O)2024 po ZZrID 25/1</t>
  </si>
  <si>
    <t>Prirast sredstev za ISF+PSF 2024</t>
  </si>
  <si>
    <t>(ISF + PSF)t, t=2024 (brez izravnave nesorazmerij)</t>
  </si>
  <si>
    <t xml:space="preserve">  sredstva za izravnavo 2023 po ZZrID 103/9 [največ 1/4]</t>
  </si>
  <si>
    <t xml:space="preserve">  prirast vsote ISF in PSF brez izravnave nesorazmerij</t>
  </si>
  <si>
    <t>Stabilno financiranje v letu 2023 (vsebuje RSF)*</t>
  </si>
  <si>
    <t>*realizacija, ne vsebuje Zavoda BRIS, ki je v izračunu</t>
  </si>
  <si>
    <t>Izravnava nesorazmerij 2024 po ZZrID 103/9</t>
  </si>
  <si>
    <t>Sredstva po denarnem toku za stabilno financiranje za 2024</t>
  </si>
  <si>
    <t>sklep št. 630-1/2024-3360-1 z dne 17.1.2024</t>
  </si>
  <si>
    <t>vsebuje povišanje ISF-O za NIB po ZZrID 25/6 (1.025.280 eur)</t>
  </si>
  <si>
    <t>RSF je v celoti v DT v letu 2024 (zadnji obrok v jan. 2025 ne vsebuje RSF)</t>
  </si>
  <si>
    <t>Opomba</t>
  </si>
  <si>
    <t>kotrola:</t>
  </si>
  <si>
    <t>1/12 (obrok dec.)</t>
  </si>
  <si>
    <t xml:space="preserve">  neizplačano 2024</t>
  </si>
  <si>
    <t xml:space="preserve">RSF 2023
</t>
  </si>
  <si>
    <t xml:space="preserve">RSF 2024
</t>
  </si>
  <si>
    <t xml:space="preserve">(ISF-O + PSF-O)2023
</t>
  </si>
  <si>
    <t xml:space="preserve">Stabilno financiranje 2022
</t>
  </si>
  <si>
    <t>Stabilno financiranje 2023
=G+I</t>
  </si>
  <si>
    <t>letna rast sredstev za stabilno financiranje</t>
  </si>
  <si>
    <t>Sredstva v 2024, namenjena za ISF+PSF</t>
  </si>
  <si>
    <t xml:space="preserve">(ISF-O + PSF-O)2024
</t>
  </si>
  <si>
    <t>denarni tok</t>
  </si>
  <si>
    <t>obračunsko načelo</t>
  </si>
  <si>
    <t>skupaj</t>
  </si>
  <si>
    <t>Sklep - povečanje stabilno financiranje v 2024</t>
  </si>
  <si>
    <t>N</t>
  </si>
  <si>
    <t>oznaka oz.</t>
  </si>
  <si>
    <t>izračun</t>
  </si>
  <si>
    <t>Ri</t>
  </si>
  <si>
    <t>n2</t>
  </si>
  <si>
    <t>Rf</t>
  </si>
  <si>
    <t>RSF 2023 (realizacija, Zavod Bris ni bil izplačan)</t>
  </si>
  <si>
    <t xml:space="preserve">RSF 2024 </t>
  </si>
  <si>
    <t>SF-Rf</t>
  </si>
  <si>
    <t>t0=izh-Ri</t>
  </si>
  <si>
    <t>t1=SF-Rf-n</t>
  </si>
  <si>
    <t>t1/t0</t>
  </si>
  <si>
    <t>n1</t>
  </si>
  <si>
    <t>n2=rPI/4</t>
  </si>
  <si>
    <t>n2/N</t>
  </si>
  <si>
    <t>N-n1-n2</t>
  </si>
  <si>
    <t>(ISF + PSF)t/(ISF + PSF)t-1, t=2024</t>
  </si>
  <si>
    <t>izh</t>
  </si>
  <si>
    <t>ΔSF</t>
  </si>
  <si>
    <t>SF=izh+ΔSF</t>
  </si>
  <si>
    <t>ΔPI=ΔSF+Ri-Rf</t>
  </si>
  <si>
    <t>ΔPI-n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</si>
</sst>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 _€_-;\-* #,##0.00\ _€_-;_-* &quot;-&quot;??\ _€_-;_-@_-"/>
    <numFmt numFmtId="164" formatCode="_-* #,##0.0000\ _€_-;\-* #,##0.0000\ _€_-;_-* &quot;-&quot;??\ _€_-;_-@_-"/>
    <numFmt numFmtId="165" formatCode="_-* #,##0.0000\ _€_-;\-* #,##0.0000\ _€_-;_-* &quot;-&quot;????\ _€_-;_-@_-"/>
    <numFmt numFmtId="166" formatCode="_(* #,##0.0000_);_(* \(#,##0.0000\);_(* &quot;-&quot;????_);_(@_)"/>
    <numFmt numFmtId="167" formatCode="#,##0.0000"/>
    <numFmt numFmtId="168" formatCode="_-* #,##0.00000\ _€_-;\-* #,##0.00000\ _€_-;_-* &quot;-&quot;??\ _€_-;_-@_-"/>
    <numFmt numFmtId="169" formatCode="0.00000"/>
    <numFmt numFmtId="170" formatCode="#,##0.0000000000000"/>
    <numFmt numFmtId="171" formatCode="0.00000000"/>
  </numFmts>
  <fonts count="14" x14ac:knownFonts="1">
    <font>
      <sz val="11"/>
      <color theme="1"/>
      <name val="Calibri"/>
      <family val="2"/>
      <charset val="238"/>
      <scheme val="minor"/>
    </font>
    <font>
      <sz val="11"/>
      <color theme="1"/>
      <name val="Calibri"/>
      <family val="2"/>
      <charset val="238"/>
      <scheme val="minor"/>
    </font>
    <font>
      <sz val="11"/>
      <color theme="1"/>
      <name val="Calibri"/>
      <family val="2"/>
      <charset val="238"/>
    </font>
    <font>
      <b/>
      <sz val="11"/>
      <color rgb="FF000000"/>
      <name val="Calibri"/>
      <family val="2"/>
      <charset val="238"/>
    </font>
    <font>
      <b/>
      <sz val="11"/>
      <color rgb="FF000000"/>
      <name val="Calibri"/>
      <family val="2"/>
    </font>
    <font>
      <sz val="11"/>
      <color rgb="FF000000"/>
      <name val="Calibri"/>
      <family val="2"/>
    </font>
    <font>
      <b/>
      <sz val="9"/>
      <color rgb="FF000000"/>
      <name val="Segoe UI"/>
      <family val="2"/>
      <charset val="238"/>
    </font>
    <font>
      <sz val="9"/>
      <color rgb="FF000000"/>
      <name val="Segoe UI"/>
      <family val="2"/>
      <charset val="238"/>
    </font>
    <font>
      <sz val="9"/>
      <color indexed="81"/>
      <name val="Segoe UI"/>
      <family val="2"/>
      <charset val="238"/>
    </font>
    <font>
      <b/>
      <sz val="9"/>
      <color indexed="81"/>
      <name val="Segoe UI"/>
      <family val="2"/>
      <charset val="238"/>
    </font>
    <font>
      <b/>
      <sz val="11"/>
      <color theme="1"/>
      <name val="Calibri"/>
      <family val="2"/>
      <charset val="238"/>
      <scheme val="minor"/>
    </font>
    <font>
      <b/>
      <sz val="11"/>
      <color theme="1"/>
      <name val="Times New Roman"/>
      <family val="1"/>
      <charset val="238"/>
    </font>
    <font>
      <b/>
      <sz val="11"/>
      <color theme="1"/>
      <name val="Calibri"/>
      <family val="2"/>
      <scheme val="minor"/>
    </font>
    <font>
      <sz val="11"/>
      <color rgb="FF000000"/>
      <name val="Calibri"/>
      <family val="2"/>
      <charset val="238"/>
    </font>
  </fonts>
  <fills count="11">
    <fill>
      <patternFill patternType="none"/>
    </fill>
    <fill>
      <patternFill patternType="gray125"/>
    </fill>
    <fill>
      <patternFill patternType="solid">
        <fgColor rgb="FFEDEDED"/>
        <bgColor rgb="FF000000"/>
      </patternFill>
    </fill>
    <fill>
      <patternFill patternType="solid">
        <fgColor rgb="FFFFFFFF"/>
        <bgColor rgb="FF000000"/>
      </patternFill>
    </fill>
    <fill>
      <patternFill patternType="solid">
        <fgColor rgb="FFFFFF00"/>
        <bgColor indexed="64"/>
      </patternFill>
    </fill>
    <fill>
      <patternFill patternType="solid">
        <fgColor rgb="FFFFFF00"/>
        <bgColor rgb="FF000000"/>
      </patternFill>
    </fill>
    <fill>
      <patternFill patternType="solid">
        <fgColor rgb="FFD9E1F2"/>
        <bgColor rgb="FFD9E1F2"/>
      </patternFill>
    </fill>
    <fill>
      <patternFill patternType="solid">
        <fgColor rgb="FFD9E1F2"/>
        <bgColor rgb="FF000000"/>
      </patternFill>
    </fill>
    <fill>
      <patternFill patternType="solid">
        <fgColor theme="8" tint="0.39997558519241921"/>
        <bgColor indexed="64"/>
      </patternFill>
    </fill>
    <fill>
      <patternFill patternType="solid">
        <fgColor theme="4" tint="0.59999389629810485"/>
        <bgColor indexed="64"/>
      </patternFill>
    </fill>
    <fill>
      <patternFill patternType="solid">
        <fgColor theme="0" tint="-4.9989318521683403E-2"/>
        <bgColor indexed="64"/>
      </patternFill>
    </fill>
  </fills>
  <borders count="9">
    <border>
      <left/>
      <right/>
      <top/>
      <bottom/>
      <diagonal/>
    </border>
    <border>
      <left style="thin">
        <color rgb="FF8EA9DB"/>
      </left>
      <right/>
      <top style="thin">
        <color rgb="FF8EA9DB"/>
      </top>
      <bottom style="thin">
        <color rgb="FF8EA9DB"/>
      </bottom>
      <diagonal/>
    </border>
    <border>
      <left/>
      <right/>
      <top style="thin">
        <color rgb="FF8EA9DB"/>
      </top>
      <bottom style="thin">
        <color rgb="FF8EA9DB"/>
      </bottom>
      <diagonal/>
    </border>
    <border>
      <left/>
      <right style="thin">
        <color rgb="FF8EA9DB"/>
      </right>
      <top style="thin">
        <color rgb="FF8EA9DB"/>
      </top>
      <bottom style="thin">
        <color rgb="FF8EA9DB"/>
      </bottom>
      <diagonal/>
    </border>
    <border>
      <left/>
      <right style="thin">
        <color rgb="FF8EA9DB"/>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164" fontId="2" fillId="0" borderId="0" xfId="0" applyNumberFormat="1" applyFont="1"/>
    <xf numFmtId="0" fontId="4" fillId="2" borderId="2" xfId="0" applyFont="1" applyFill="1" applyBorder="1" applyAlignment="1">
      <alignment wrapText="1"/>
    </xf>
    <xf numFmtId="0" fontId="5" fillId="3" borderId="1" xfId="0" applyFont="1" applyFill="1" applyBorder="1"/>
    <xf numFmtId="0" fontId="5" fillId="3" borderId="2" xfId="0" applyFont="1" applyFill="1" applyBorder="1"/>
    <xf numFmtId="43" fontId="5" fillId="3" borderId="2" xfId="0" applyNumberFormat="1" applyFont="1" applyFill="1" applyBorder="1"/>
    <xf numFmtId="164" fontId="0" fillId="0" borderId="0" xfId="0" applyNumberFormat="1"/>
    <xf numFmtId="43" fontId="0" fillId="0" borderId="0" xfId="0" applyNumberFormat="1"/>
    <xf numFmtId="164" fontId="5" fillId="2" borderId="3" xfId="0" applyNumberFormat="1" applyFont="1" applyFill="1" applyBorder="1"/>
    <xf numFmtId="165" fontId="0" fillId="0" borderId="0" xfId="0" applyNumberFormat="1"/>
    <xf numFmtId="0" fontId="5" fillId="5" borderId="2" xfId="0" applyFont="1" applyFill="1" applyBorder="1"/>
    <xf numFmtId="43" fontId="5" fillId="5" borderId="2" xfId="0" applyNumberFormat="1" applyFont="1" applyFill="1" applyBorder="1"/>
    <xf numFmtId="164" fontId="5" fillId="5" borderId="3" xfId="0" applyNumberFormat="1" applyFont="1" applyFill="1" applyBorder="1"/>
    <xf numFmtId="165" fontId="0" fillId="4" borderId="0" xfId="0" applyNumberFormat="1" applyFill="1"/>
    <xf numFmtId="166" fontId="0" fillId="0" borderId="0" xfId="0" applyNumberFormat="1"/>
    <xf numFmtId="0" fontId="5" fillId="6" borderId="2" xfId="0" applyFont="1" applyFill="1" applyBorder="1"/>
    <xf numFmtId="0" fontId="5" fillId="3" borderId="0" xfId="0" applyFont="1" applyFill="1"/>
    <xf numFmtId="43" fontId="4" fillId="7" borderId="3" xfId="0" applyNumberFormat="1" applyFont="1" applyFill="1" applyBorder="1" applyAlignment="1">
      <alignment horizontal="center" wrapText="1"/>
    </xf>
    <xf numFmtId="43" fontId="4" fillId="2" borderId="3" xfId="0" applyNumberFormat="1" applyFont="1" applyFill="1" applyBorder="1" applyAlignment="1">
      <alignment horizontal="center" wrapText="1"/>
    </xf>
    <xf numFmtId="43" fontId="4" fillId="5" borderId="3" xfId="0" applyNumberFormat="1" applyFont="1" applyFill="1" applyBorder="1" applyAlignment="1">
      <alignment horizontal="center" wrapText="1"/>
    </xf>
    <xf numFmtId="166" fontId="0" fillId="4" borderId="0" xfId="0" applyNumberFormat="1" applyFill="1"/>
    <xf numFmtId="43" fontId="4" fillId="5" borderId="4" xfId="0" applyNumberFormat="1" applyFont="1" applyFill="1" applyBorder="1" applyAlignment="1">
      <alignment horizontal="center" wrapText="1"/>
    </xf>
    <xf numFmtId="167" fontId="0" fillId="0" borderId="0" xfId="0" applyNumberFormat="1"/>
    <xf numFmtId="164" fontId="5" fillId="2" borderId="0" xfId="0" applyNumberFormat="1" applyFont="1" applyFill="1"/>
    <xf numFmtId="164" fontId="5" fillId="2" borderId="4" xfId="0" applyNumberFormat="1" applyFont="1" applyFill="1" applyBorder="1"/>
    <xf numFmtId="168" fontId="4" fillId="5" borderId="4" xfId="0" applyNumberFormat="1" applyFont="1" applyFill="1" applyBorder="1" applyAlignment="1">
      <alignment horizontal="center" wrapText="1"/>
    </xf>
    <xf numFmtId="168" fontId="0" fillId="0" borderId="0" xfId="0" applyNumberFormat="1"/>
    <xf numFmtId="169" fontId="0" fillId="0" borderId="0" xfId="0" applyNumberFormat="1"/>
    <xf numFmtId="164" fontId="0" fillId="0" borderId="0" xfId="1" applyNumberFormat="1" applyFont="1"/>
    <xf numFmtId="164" fontId="2" fillId="0" borderId="0" xfId="0" applyNumberFormat="1" applyFont="1" applyAlignment="1">
      <alignment horizontal="right"/>
    </xf>
    <xf numFmtId="168" fontId="0" fillId="4" borderId="0" xfId="0" applyNumberFormat="1" applyFill="1"/>
    <xf numFmtId="169" fontId="0" fillId="4" borderId="0" xfId="0" applyNumberFormat="1" applyFill="1"/>
    <xf numFmtId="4" fontId="0" fillId="0" borderId="0" xfId="0" applyNumberFormat="1"/>
    <xf numFmtId="0" fontId="0" fillId="4" borderId="0" xfId="0" applyFill="1"/>
    <xf numFmtId="165" fontId="0" fillId="8" borderId="0" xfId="0" applyNumberFormat="1" applyFill="1"/>
    <xf numFmtId="166" fontId="0" fillId="4" borderId="6" xfId="0" applyNumberFormat="1" applyFill="1" applyBorder="1"/>
    <xf numFmtId="0" fontId="10" fillId="0" borderId="0" xfId="0" applyFont="1"/>
    <xf numFmtId="167" fontId="3" fillId="0" borderId="5" xfId="0" applyNumberFormat="1" applyFont="1" applyBorder="1" applyAlignment="1">
      <alignment horizontal="center" vertical="center"/>
    </xf>
    <xf numFmtId="166" fontId="0" fillId="9" borderId="0" xfId="0" applyNumberFormat="1" applyFill="1"/>
    <xf numFmtId="0" fontId="0" fillId="0" borderId="0" xfId="0" applyAlignment="1">
      <alignment horizontal="right"/>
    </xf>
    <xf numFmtId="164" fontId="12" fillId="0" borderId="0" xfId="0" applyNumberFormat="1" applyFont="1"/>
    <xf numFmtId="164" fontId="2" fillId="10" borderId="0" xfId="0" applyNumberFormat="1" applyFont="1" applyFill="1"/>
    <xf numFmtId="164" fontId="10" fillId="0" borderId="0" xfId="0" applyNumberFormat="1" applyFont="1"/>
    <xf numFmtId="0" fontId="3" fillId="0" borderId="5" xfId="0" applyFont="1" applyFill="1" applyBorder="1" applyAlignment="1">
      <alignment vertical="center"/>
    </xf>
    <xf numFmtId="167" fontId="3" fillId="0" borderId="5" xfId="0" applyNumberFormat="1" applyFont="1" applyFill="1" applyBorder="1" applyAlignment="1">
      <alignment horizontal="right" vertical="center"/>
    </xf>
    <xf numFmtId="0" fontId="0" fillId="0" borderId="0" xfId="0" applyFill="1"/>
    <xf numFmtId="167" fontId="0" fillId="0" borderId="0" xfId="0" applyNumberFormat="1" applyFill="1"/>
    <xf numFmtId="0" fontId="2" fillId="0" borderId="0" xfId="0" applyFont="1" applyFill="1"/>
    <xf numFmtId="0" fontId="2" fillId="0" borderId="0" xfId="0" applyFont="1" applyFill="1" applyAlignment="1">
      <alignment horizontal="left"/>
    </xf>
    <xf numFmtId="170" fontId="0" fillId="0" borderId="0" xfId="0" applyNumberFormat="1" applyFill="1"/>
    <xf numFmtId="171" fontId="0" fillId="0" borderId="0" xfId="0" applyNumberFormat="1" applyFill="1"/>
    <xf numFmtId="10" fontId="0" fillId="0" borderId="0" xfId="2" applyNumberFormat="1" applyFont="1" applyFill="1"/>
    <xf numFmtId="167" fontId="3" fillId="0" borderId="0" xfId="0" applyNumberFormat="1" applyFont="1" applyBorder="1" applyAlignment="1">
      <alignment horizontal="left" vertical="center"/>
    </xf>
    <xf numFmtId="0" fontId="0" fillId="0" borderId="0" xfId="0" applyFill="1" applyAlignment="1">
      <alignment horizontal="left"/>
    </xf>
    <xf numFmtId="167" fontId="0" fillId="0" borderId="0" xfId="0" applyNumberFormat="1" applyFill="1" applyAlignment="1">
      <alignment horizontal="left"/>
    </xf>
    <xf numFmtId="170" fontId="0" fillId="0" borderId="0" xfId="0" applyNumberFormat="1" applyFill="1" applyAlignment="1">
      <alignment horizontal="left"/>
    </xf>
    <xf numFmtId="10" fontId="0" fillId="0" borderId="0" xfId="2" applyNumberFormat="1" applyFont="1" applyFill="1" applyAlignment="1">
      <alignment horizontal="left"/>
    </xf>
    <xf numFmtId="4" fontId="0" fillId="0" borderId="0" xfId="0" applyNumberFormat="1" applyAlignment="1">
      <alignment horizontal="left"/>
    </xf>
    <xf numFmtId="165" fontId="0" fillId="0" borderId="0" xfId="0" applyNumberFormat="1" applyAlignment="1">
      <alignment horizontal="left"/>
    </xf>
    <xf numFmtId="0" fontId="0" fillId="0" borderId="0" xfId="0" applyAlignment="1">
      <alignment horizontal="left"/>
    </xf>
    <xf numFmtId="0" fontId="3" fillId="0" borderId="8" xfId="0" applyFont="1" applyFill="1" applyBorder="1" applyAlignment="1">
      <alignment vertical="center"/>
    </xf>
    <xf numFmtId="167" fontId="3" fillId="0" borderId="8" xfId="0" applyNumberFormat="1" applyFont="1" applyFill="1" applyBorder="1" applyAlignment="1">
      <alignment horizontal="right" vertical="center"/>
    </xf>
    <xf numFmtId="0" fontId="11" fillId="0" borderId="7" xfId="0" applyFont="1" applyBorder="1"/>
    <xf numFmtId="167" fontId="3" fillId="0" borderId="7" xfId="0" quotePrefix="1" applyNumberFormat="1" applyFont="1" applyBorder="1" applyAlignment="1">
      <alignment horizontal="center" vertical="center"/>
    </xf>
    <xf numFmtId="167" fontId="3" fillId="0" borderId="7" xfId="0" quotePrefix="1" applyNumberFormat="1" applyFont="1" applyBorder="1" applyAlignment="1">
      <alignment horizontal="center" vertical="center" wrapText="1"/>
    </xf>
    <xf numFmtId="167" fontId="3" fillId="0" borderId="7" xfId="0" applyNumberFormat="1" applyFont="1" applyBorder="1" applyAlignment="1">
      <alignment horizontal="center" vertical="center"/>
    </xf>
    <xf numFmtId="167" fontId="3" fillId="0" borderId="7" xfId="0" applyNumberFormat="1" applyFont="1" applyBorder="1" applyAlignment="1">
      <alignment horizontal="left" vertical="center"/>
    </xf>
    <xf numFmtId="167" fontId="0" fillId="0" borderId="0" xfId="0" quotePrefix="1" applyNumberFormat="1" applyFill="1" applyAlignment="1">
      <alignment horizontal="left"/>
    </xf>
    <xf numFmtId="167" fontId="13" fillId="0" borderId="0" xfId="0" applyNumberFormat="1" applyFont="1" applyFill="1" applyBorder="1" applyAlignment="1">
      <alignment horizontal="left" vertical="center"/>
    </xf>
    <xf numFmtId="0" fontId="10" fillId="0" borderId="0" xfId="0" applyFont="1" applyAlignment="1">
      <alignment horizontal="center"/>
    </xf>
  </cellXfs>
  <cellStyles count="3">
    <cellStyle name="Navadno" xfId="0" builtinId="0"/>
    <cellStyle name="Odstotek" xfId="2" builtinId="5"/>
    <cellStyle name="Vejica" xfId="1" builtinId="3"/>
  </cellStyles>
  <dxfs count="38">
    <dxf>
      <numFmt numFmtId="165" formatCode="_-* #,##0.0000\ _€_-;\-* #,##0.0000\ _€_-;_-* &quot;-&quot;????\ _€_-;_-@_-"/>
    </dxf>
    <dxf>
      <numFmt numFmtId="165" formatCode="_-* #,##0.0000\ _€_-;\-* #,##0.0000\ _€_-;_-* &quot;-&quot;????\ _€_-;_-@_-"/>
    </dxf>
    <dxf>
      <numFmt numFmtId="169" formatCode="0.00000"/>
    </dxf>
    <dxf>
      <numFmt numFmtId="169" formatCode="0.00000"/>
    </dxf>
    <dxf>
      <numFmt numFmtId="169" formatCode="0.00000"/>
    </dxf>
    <dxf>
      <numFmt numFmtId="169" formatCode="0.00000"/>
    </dxf>
    <dxf>
      <numFmt numFmtId="168" formatCode="_-* #,##0.00000\ _€_-;\-* #,##0.00000\ _€_-;_-* &quot;-&quot;??\ _€_-;_-@_-"/>
    </dxf>
    <dxf>
      <numFmt numFmtId="168" formatCode="_-* #,##0.00000\ _€_-;\-* #,##0.00000\ _€_-;_-* &quot;-&quot;??\ _€_-;_-@_-"/>
    </dxf>
    <dxf>
      <numFmt numFmtId="166" formatCode="_(* #,##0.0000_);_(* \(#,##0.0000\);_(* &quot;-&quot;????_);_(@_)"/>
    </dxf>
    <dxf>
      <numFmt numFmtId="166" formatCode="_(* #,##0.0000_);_(* \(#,##0.0000\);_(* &quot;-&quot;????_);_(@_)"/>
    </dxf>
    <dxf>
      <numFmt numFmtId="166" formatCode="_(* #,##0.0000_);_(* \(#,##0.0000\);_(* &quot;-&quot;????_);_(@_)"/>
    </dxf>
    <dxf>
      <numFmt numFmtId="166" formatCode="_(* #,##0.0000_);_(* \(#,##0.0000\);_(* &quot;-&quot;????_);_(@_)"/>
    </dxf>
    <dxf>
      <numFmt numFmtId="35" formatCode="_-* #,##0.00\ _€_-;\-* #,##0.00\ _€_-;_-* &quot;-&quot;??\ _€_-;_-@_-"/>
    </dxf>
    <dxf>
      <numFmt numFmtId="166" formatCode="_(* #,##0.0000_);_(* \(#,##0.0000\);_(* &quot;-&quot;????_);_(@_)"/>
    </dxf>
    <dxf>
      <numFmt numFmtId="166" formatCode="_(* #,##0.0000_);_(* \(#,##0.0000\);_(* &quot;-&quot;????_);_(@_)"/>
    </dxf>
    <dxf>
      <numFmt numFmtId="166" formatCode="_(* #,##0.0000_);_(* \(#,##0.0000\);_(* &quot;-&quot;????_);_(@_)"/>
    </dxf>
    <dxf>
      <numFmt numFmtId="166" formatCode="_(* #,##0.0000_);_(* \(#,##0.0000\);_(* &quot;-&quot;????_);_(@_)"/>
    </dxf>
    <dxf>
      <numFmt numFmtId="166" formatCode="_(* #,##0.0000_);_(* \(#,##0.0000\);_(* &quot;-&quot;????_);_(@_)"/>
    </dxf>
    <dxf>
      <font>
        <b val="0"/>
        <i val="0"/>
        <strike val="0"/>
        <condense val="0"/>
        <extend val="0"/>
        <outline val="0"/>
        <shadow val="0"/>
        <u val="none"/>
        <vertAlign val="baseline"/>
        <sz val="11"/>
        <color theme="1"/>
        <name val="Calibri"/>
        <family val="2"/>
        <charset val="238"/>
        <scheme val="none"/>
      </font>
      <numFmt numFmtId="164" formatCode="_-* #,##0.0000\ _€_-;\-* #,##0.0000\ _€_-;_-* &quot;-&quot;??\ _€_-;_-@_-"/>
    </dxf>
    <dxf>
      <numFmt numFmtId="166" formatCode="_(* #,##0.0000_);_(* \(#,##0.0000\);_(* &quot;-&quot;????_);_(@_)"/>
    </dxf>
    <dxf>
      <numFmt numFmtId="164" formatCode="_-* #,##0.0000\ _€_-;\-* #,##0.0000\ _€_-;_-* &quot;-&quot;??\ _€_-;_-@_-"/>
    </dxf>
    <dxf>
      <numFmt numFmtId="166" formatCode="_(* #,##0.0000_);_(* \(#,##0.0000\);_(* &quot;-&quot;????_);_(@_)"/>
    </dxf>
    <dxf>
      <font>
        <b val="0"/>
        <i val="0"/>
        <strike val="0"/>
        <condense val="0"/>
        <extend val="0"/>
        <outline val="0"/>
        <shadow val="0"/>
        <u val="none"/>
        <vertAlign val="baseline"/>
        <sz val="11"/>
        <color theme="1"/>
        <name val="Calibri"/>
        <family val="2"/>
        <charset val="238"/>
        <scheme val="none"/>
      </font>
      <numFmt numFmtId="164" formatCode="_-* #,##0.0000\ _€_-;\-* #,##0.0000\ _€_-;_-* &quot;-&quot;??\ _€_-;_-@_-"/>
    </dxf>
    <dxf>
      <numFmt numFmtId="166" formatCode="_(* #,##0.0000_);_(* \(#,##0.0000\);_(* &quot;-&quot;????_);_(@_)"/>
    </dxf>
    <dxf>
      <font>
        <b val="0"/>
        <i val="0"/>
        <strike val="0"/>
        <condense val="0"/>
        <extend val="0"/>
        <outline val="0"/>
        <shadow val="0"/>
        <u val="none"/>
        <vertAlign val="baseline"/>
        <sz val="11"/>
        <color theme="1"/>
        <name val="Calibri"/>
        <family val="2"/>
        <charset val="238"/>
        <scheme val="none"/>
      </font>
      <numFmt numFmtId="164" formatCode="_-* #,##0.0000\ _€_-;\-* #,##0.0000\ _€_-;_-* &quot;-&quot;??\ _€_-;_-@_-"/>
    </dxf>
    <dxf>
      <font>
        <b val="0"/>
        <i val="0"/>
        <strike val="0"/>
        <condense val="0"/>
        <extend val="0"/>
        <outline val="0"/>
        <shadow val="0"/>
        <u val="none"/>
        <vertAlign val="baseline"/>
        <sz val="11"/>
        <color theme="1"/>
        <name val="Calibri"/>
        <family val="2"/>
        <charset val="238"/>
        <scheme val="none"/>
      </font>
      <numFmt numFmtId="166" formatCode="_(* #,##0.0000_);_(* \(#,##0.0000\);_(* &quot;-&quot;????_);_(@_)"/>
    </dxf>
    <dxf>
      <font>
        <b val="0"/>
        <i val="0"/>
        <strike val="0"/>
        <condense val="0"/>
        <extend val="0"/>
        <outline val="0"/>
        <shadow val="0"/>
        <u val="none"/>
        <vertAlign val="baseline"/>
        <sz val="11"/>
        <color theme="1"/>
        <name val="Calibri"/>
        <family val="2"/>
        <charset val="238"/>
        <scheme val="none"/>
      </font>
      <numFmt numFmtId="164" formatCode="_-* #,##0.0000\ _€_-;\-* #,##0.0000\ _€_-;_-* &quot;-&quot;??\ _€_-;_-@_-"/>
      <fill>
        <patternFill patternType="solid">
          <fgColor indexed="64"/>
          <bgColor theme="0" tint="-4.9989318521683403E-2"/>
        </patternFill>
      </fill>
    </dxf>
    <dxf>
      <font>
        <b val="0"/>
        <i val="0"/>
        <strike val="0"/>
        <condense val="0"/>
        <extend val="0"/>
        <outline val="0"/>
        <shadow val="0"/>
        <u val="none"/>
        <vertAlign val="baseline"/>
        <sz val="11"/>
        <color rgb="FF000000"/>
        <name val="Calibri"/>
        <family val="2"/>
        <scheme val="none"/>
      </font>
      <numFmt numFmtId="164" formatCode="_-* #,##0.0000\ _€_-;\-* #,##0.0000\ _€_-;_-* &quot;-&quot;??\ _€_-;_-@_-"/>
      <fill>
        <patternFill patternType="solid">
          <fgColor rgb="FF000000"/>
          <bgColor rgb="FFEDEDED"/>
        </patternFill>
      </fill>
      <border diagonalUp="0" diagonalDown="0">
        <left/>
        <right style="thin">
          <color rgb="FF8EA9DB"/>
        </right>
        <top style="thin">
          <color rgb="FF8EA9DB"/>
        </top>
        <bottom style="thin">
          <color rgb="FF8EA9DB"/>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FF"/>
        </patternFill>
      </fill>
    </dxf>
    <dxf>
      <font>
        <b val="0"/>
        <i val="0"/>
        <strike val="0"/>
        <condense val="0"/>
        <extend val="0"/>
        <outline val="0"/>
        <shadow val="0"/>
        <u val="none"/>
        <vertAlign val="baseline"/>
        <sz val="11"/>
        <color rgb="FF000000"/>
        <name val="Calibri"/>
        <family val="2"/>
        <scheme val="none"/>
      </font>
      <numFmt numFmtId="35" formatCode="_-* #,##0.00\ _€_-;\-* #,##0.00\ _€_-;_-* &quot;-&quot;??\ _€_-;_-@_-"/>
      <fill>
        <patternFill patternType="solid">
          <fgColor rgb="FF000000"/>
          <bgColor rgb="FFFFFFFF"/>
        </patternFill>
      </fill>
      <border diagonalUp="0" diagonalDown="0">
        <left/>
        <right/>
        <top style="thin">
          <color rgb="FF8EA9DB"/>
        </top>
        <bottom style="thin">
          <color rgb="FF8EA9DB"/>
        </bottom>
        <vertical/>
        <horizontal/>
      </border>
    </dxf>
    <dxf>
      <font>
        <b val="0"/>
        <i val="0"/>
        <strike val="0"/>
        <condense val="0"/>
        <extend val="0"/>
        <outline val="0"/>
        <shadow val="0"/>
        <u val="none"/>
        <vertAlign val="baseline"/>
        <sz val="11"/>
        <color rgb="FF000000"/>
        <name val="Calibri"/>
        <family val="2"/>
        <scheme val="none"/>
      </font>
      <numFmt numFmtId="164" formatCode="_-* #,##0.0000\ _€_-;\-* #,##0.0000\ _€_-;_-* &quot;-&quot;??\ _€_-;_-@_-"/>
      <fill>
        <patternFill patternType="solid">
          <fgColor rgb="FF000000"/>
          <bgColor rgb="FFEDEDED"/>
        </patternFill>
      </fill>
      <border diagonalUp="0" diagonalDown="0" outline="0">
        <left/>
        <right style="thin">
          <color rgb="FF8EA9DB"/>
        </right>
        <top/>
        <bottom/>
      </border>
    </dxf>
    <dxf>
      <font>
        <b val="0"/>
        <i val="0"/>
        <strike val="0"/>
        <condense val="0"/>
        <extend val="0"/>
        <outline val="0"/>
        <shadow val="0"/>
        <u val="none"/>
        <vertAlign val="baseline"/>
        <sz val="11"/>
        <color rgb="FF000000"/>
        <name val="Calibri"/>
        <family val="2"/>
        <scheme val="none"/>
      </font>
      <numFmt numFmtId="164" formatCode="_-* #,##0.0000\ _€_-;\-* #,##0.0000\ _€_-;_-* &quot;-&quot;??\ _€_-;_-@_-"/>
      <fill>
        <patternFill patternType="solid">
          <fgColor rgb="FF000000"/>
          <bgColor rgb="FFEDEDED"/>
        </patternFill>
      </fill>
      <border diagonalUp="0" diagonalDown="0">
        <left/>
        <right style="thin">
          <color rgb="FF8EA9DB"/>
        </right>
        <top style="thin">
          <color rgb="FF8EA9DB"/>
        </top>
        <bottom style="thin">
          <color rgb="FF8EA9DB"/>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FF"/>
        </patternFill>
      </fill>
    </dxf>
    <dxf>
      <font>
        <b val="0"/>
        <i val="0"/>
        <strike val="0"/>
        <condense val="0"/>
        <extend val="0"/>
        <outline val="0"/>
        <shadow val="0"/>
        <u val="none"/>
        <vertAlign val="baseline"/>
        <sz val="11"/>
        <color rgb="FF000000"/>
        <name val="Calibri"/>
        <family val="2"/>
        <scheme val="none"/>
      </font>
      <fill>
        <patternFill patternType="solid">
          <fgColor rgb="FF000000"/>
          <bgColor rgb="FFFFFFFF"/>
        </patternFill>
      </fill>
      <border diagonalUp="0" diagonalDown="0">
        <left/>
        <right/>
        <top style="thin">
          <color rgb="FF8EA9DB"/>
        </top>
        <bottom style="thin">
          <color rgb="FF8EA9DB"/>
        </bottom>
        <vertical/>
        <horizontal/>
      </border>
    </dxf>
    <dxf>
      <font>
        <b val="0"/>
        <i val="0"/>
        <strike val="0"/>
        <condense val="0"/>
        <extend val="0"/>
        <outline val="0"/>
        <shadow val="0"/>
        <u val="none"/>
        <vertAlign val="baseline"/>
        <sz val="11"/>
        <color rgb="FF000000"/>
        <name val="Calibri"/>
        <family val="2"/>
        <scheme val="none"/>
      </font>
      <fill>
        <patternFill patternType="solid">
          <fgColor rgb="FF000000"/>
          <bgColor rgb="FFFFFFFF"/>
        </patternFill>
      </fill>
    </dxf>
    <dxf>
      <font>
        <b val="0"/>
        <i val="0"/>
        <strike val="0"/>
        <condense val="0"/>
        <extend val="0"/>
        <outline val="0"/>
        <shadow val="0"/>
        <u val="none"/>
        <vertAlign val="baseline"/>
        <sz val="11"/>
        <color rgb="FF000000"/>
        <name val="Calibri"/>
        <family val="2"/>
        <scheme val="none"/>
      </font>
      <fill>
        <patternFill patternType="solid">
          <fgColor rgb="FF000000"/>
          <bgColor rgb="FFFFFFFF"/>
        </patternFill>
      </fill>
      <border diagonalUp="0" diagonalDown="0">
        <left/>
        <right/>
        <top style="thin">
          <color rgb="FF8EA9DB"/>
        </top>
        <bottom style="thin">
          <color rgb="FF8EA9DB"/>
        </bottom>
        <vertical/>
        <horizontal/>
      </border>
    </dxf>
    <dxf>
      <border outline="0">
        <left style="thin">
          <color rgb="FF8EA9DB"/>
        </left>
      </border>
    </dxf>
    <dxf>
      <font>
        <b/>
        <i val="0"/>
        <strike val="0"/>
        <condense val="0"/>
        <extend val="0"/>
        <outline val="0"/>
        <shadow val="0"/>
        <u val="none"/>
        <vertAlign val="baseline"/>
        <sz val="11"/>
        <color rgb="FF000000"/>
        <name val="Calibri"/>
        <family val="2"/>
        <scheme val="none"/>
      </font>
      <numFmt numFmtId="35" formatCode="_-* #,##0.00\ _€_-;\-* #,##0.00\ _€_-;_-* &quot;-&quot;??\ _€_-;_-@_-"/>
      <fill>
        <patternFill patternType="solid">
          <fgColor rgb="FF000000"/>
          <bgColor rgb="FFFFFF00"/>
        </patternFill>
      </fill>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FFA6E1-818D-409F-9CB2-2C890F26185D}" name="Tabela13" displayName="Tabela13" ref="A1:R58" totalsRowCount="1" headerRowDxfId="37" tableBorderDxfId="36">
  <autoFilter ref="A1:R57" xr:uid="{AEB3D690-63D4-472F-8F6B-A106BA92F858}"/>
  <tableColumns count="18">
    <tableColumn id="1" xr3:uid="{C2E17800-669F-418F-B5CC-5BA19D2E4454}" name="Šifra RO" totalsRowLabel="Vsota" dataDxfId="35" totalsRowDxfId="34"/>
    <tableColumn id="2" xr3:uid="{6877184C-515F-4603-90C4-D4CD7795022A}" name="Naziv" dataDxfId="33" totalsRowDxfId="32"/>
    <tableColumn id="4" xr3:uid="{29067690-9A51-49EC-9132-84A07800E664}" name="Izravnava nesorazmerij total (sklep 15.7.2022)" totalsRowFunction="sum" dataDxfId="31" totalsRowDxfId="30"/>
    <tableColumn id="5" xr3:uid="{6F48387D-014F-4CFF-90CE-339C43578133}" name="MATIČNA RO vsaj enemu RPROG" dataDxfId="29" totalsRowDxfId="28"/>
    <tableColumn id="7" xr3:uid="{A1947D05-3727-4DB3-AEDA-ADF01872FBAE}" name="Stabilno financiranje 2022_x000a_" totalsRowFunction="sum" dataDxfId="27" totalsRowDxfId="26"/>
    <tableColumn id="6" xr3:uid="{50772220-DB67-47F3-9015-29B8F949F012}" name="Stabilno financiranje 2023_x000a_=G+I" totalsRowFunction="sum" dataDxfId="25" totalsRowDxfId="24"/>
    <tableColumn id="18" xr3:uid="{C2E7D6BF-56E6-4CBB-929B-8993C11A821A}" name="RSF 2023_x000a_" totalsRowFunction="sum" dataDxfId="23" totalsRowDxfId="22"/>
    <tableColumn id="11" xr3:uid="{1B9568BB-5746-4663-96D0-6B40DCE65371}" name="RSF 2024_x000a_" totalsRowFunction="sum" dataDxfId="21" totalsRowDxfId="20">
      <calculatedColumnFormula>ROUND(Tabela13[[#This Row],[RSF 2023
]]*$G$46/Tabela13[[#Totals],[RSF 2023
]],2)+Tabela13[[#This Row],[RSF 2023
]]</calculatedColumnFormula>
    </tableColumn>
    <tableColumn id="8" xr3:uid="{D17F16BB-CB69-4BCC-81C8-9D57CFBD0555}" name="(ISF-O + PSF-O)2023_x000a_" totalsRowFunction="sum" dataDxfId="19" totalsRowDxfId="18"/>
    <tableColumn id="19" xr3:uid="{4FB1F914-71D6-40BB-AF2F-BE70DAF93995}" name="(ISF-O + PSF-O)2024 po ZZrID 25/1" totalsRowFunction="sum" dataDxfId="17" totalsRowDxfId="16">
      <calculatedColumnFormula>ROUND(I2*'2024-PREGLED'!$E$11/'2024-PREGLED'!$E$10,2)</calculatedColumnFormula>
    </tableColumn>
    <tableColumn id="9" xr3:uid="{280AF776-D343-4456-8E58-AEA7A81FB430}" name="Izravnava nesorazmerij 2024 po ZZrID 103/9" totalsRowFunction="sum" dataDxfId="15" totalsRowDxfId="14">
      <calculatedColumnFormula>ROUND(Tabela13[[#This Row],[Izravnava nesorazmerij total (sklep 15.7.2022)]]*'2024-PREGLED'!$E$18/'2024-PREGLED'!$E$21,2)</calculatedColumnFormula>
    </tableColumn>
    <tableColumn id="10" xr3:uid="{2EE4F0BC-48D2-42DA-BAB3-B850EECFA5F7}" name="(ISF-O + PSF-O)2024_x000a_" totalsRowFunction="sum" dataDxfId="13" totalsRowDxfId="12">
      <calculatedColumnFormula>Tabela13[[#This Row],[(ISF-O + PSF-O)2024 po ZZrID 25/1]]+Tabela13[[#This Row],[Izravnava nesorazmerij 2024 po ZZrID 103/9]]</calculatedColumnFormula>
    </tableColumn>
    <tableColumn id="12" xr3:uid="{A064C2FA-E4D8-4A76-AAE9-0A34D8A15E2F}" name="Stabilno financiranje 2024" totalsRowFunction="sum" dataDxfId="11" totalsRowDxfId="10">
      <calculatedColumnFormula>Tabela13[[#This Row],[(ISF-O + PSF-O)2024
]]+Tabela13[[#This Row],[RSF 2024
]]</calculatedColumnFormula>
    </tableColumn>
    <tableColumn id="13" xr3:uid="{EA7A9D48-4C85-4986-BEB4-470D8C0B1E1A}" name="Prirast sredstev za ISF+PSF 2024" totalsRowFunction="sum" dataDxfId="9" totalsRowDxfId="8">
      <calculatedColumnFormula>Tabela13[[#This Row],[(ISF-O + PSF-O)2024
]]-Tabela13[[#This Row],[(ISF-O + PSF-O)2023
]]</calculatedColumnFormula>
    </tableColumn>
    <tableColumn id="14" xr3:uid="{328AFDCD-E6B3-4224-9265-2AC62129E71F}" name="kontrola_x000a_Delež RSF v ISF+PSF" totalsRowFunction="average" dataDxfId="7" totalsRowDxfId="6">
      <calculatedColumnFormula>Tabela13[[#This Row],[RSF 2024
]]/Tabela13[[#This Row],[(ISF-O + PSF-O)2024 po ZZrID 25/1]]</calculatedColumnFormula>
    </tableColumn>
    <tableColumn id="15" xr3:uid="{EA360278-5452-4750-B92E-EF050244AE9C}" name="kontrola ISF+PSF brez nesor." totalsRowFunction="average" dataDxfId="5" totalsRowDxfId="4">
      <calculatedColumnFormula>Tabela13[[#This Row],[(ISF-O + PSF-O)2024 po ZZrID 25/1]]/Tabela13[[#This Row],[(ISF-O + PSF-O)2023
]]</calculatedColumnFormula>
    </tableColumn>
    <tableColumn id="16" xr3:uid="{76B413DC-66A3-4CDA-9653-F96121A1CD20}" name="kontrola izravnave nesoraz." totalsRowFunction="average" dataDxfId="3" totalsRowDxfId="2">
      <calculatedColumnFormula>IF(Tabela13[[#This Row],[MATIČNA RO vsaj enemu RPROG]]="DA",Tabela13[[#This Row],[Izravnava nesorazmerij 2024 po ZZrID 103/9]]/Tabela13[[#This Row],[Izravnava nesorazmerij total (sklep 15.7.2022)]],"-")</calculatedColumnFormula>
    </tableColumn>
    <tableColumn id="17" xr3:uid="{BF588174-AA45-4C8D-A05B-072E3568C28A}" name="Prirast stabilnega financiranja" totalsRowFunction="sum" dataDxfId="1" totalsRowDxfId="0">
      <calculatedColumnFormula>Tabela13[[#This Row],[Stabilno financiranje 2024]]-Tabela13[[#This Row],[Stabilno financiranje 2023
=G+I]]</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B06B4-9BC5-40A4-9A17-3FE1073CA039}">
  <sheetPr>
    <tabColor rgb="FF92D050"/>
    <pageSetUpPr fitToPage="1"/>
  </sheetPr>
  <dimension ref="A1:R66"/>
  <sheetViews>
    <sheetView tabSelected="1" view="pageLayout" topLeftCell="A19" zoomScaleNormal="100" workbookViewId="0">
      <selection activeCell="N66" sqref="N65:N66"/>
    </sheetView>
  </sheetViews>
  <sheetFormatPr defaultRowHeight="14.6" x14ac:dyDescent="0.4"/>
  <cols>
    <col min="1" max="1" width="9.3046875" customWidth="1"/>
    <col min="2" max="2" width="47" customWidth="1"/>
    <col min="3" max="3" width="17.53515625" customWidth="1"/>
    <col min="4" max="4" width="9.15234375" customWidth="1"/>
    <col min="5" max="7" width="18.84375" customWidth="1"/>
    <col min="8" max="8" width="20.53515625" customWidth="1"/>
    <col min="9" max="9" width="18.69140625" customWidth="1"/>
    <col min="10" max="12" width="18.3046875" customWidth="1"/>
    <col min="13" max="13" width="20.84375" customWidth="1"/>
    <col min="14" max="14" width="18.3046875" customWidth="1"/>
    <col min="15" max="15" width="18.15234375" customWidth="1"/>
    <col min="16" max="16" width="10.84375" style="26" customWidth="1"/>
    <col min="17" max="17" width="10.3046875" customWidth="1"/>
    <col min="18" max="18" width="19" customWidth="1"/>
  </cols>
  <sheetData>
    <row r="1" spans="1:18" ht="72.900000000000006" x14ac:dyDescent="0.4">
      <c r="A1" s="2" t="s">
        <v>0</v>
      </c>
      <c r="B1" s="2" t="s">
        <v>1</v>
      </c>
      <c r="C1" s="18" t="s">
        <v>62</v>
      </c>
      <c r="D1" s="18" t="s">
        <v>57</v>
      </c>
      <c r="E1" s="18" t="s">
        <v>102</v>
      </c>
      <c r="F1" s="17" t="s">
        <v>103</v>
      </c>
      <c r="G1" s="17" t="s">
        <v>99</v>
      </c>
      <c r="H1" s="19" t="s">
        <v>100</v>
      </c>
      <c r="I1" s="17" t="s">
        <v>101</v>
      </c>
      <c r="J1" s="19" t="s">
        <v>83</v>
      </c>
      <c r="K1" s="19" t="s">
        <v>90</v>
      </c>
      <c r="L1" s="19" t="s">
        <v>106</v>
      </c>
      <c r="M1" s="19" t="s">
        <v>82</v>
      </c>
      <c r="N1" s="21" t="s">
        <v>84</v>
      </c>
      <c r="O1" s="25" t="s">
        <v>66</v>
      </c>
      <c r="P1" s="21" t="s">
        <v>71</v>
      </c>
      <c r="Q1" s="21" t="s">
        <v>72</v>
      </c>
      <c r="R1" s="21" t="s">
        <v>65</v>
      </c>
    </row>
    <row r="2" spans="1:18" x14ac:dyDescent="0.4">
      <c r="A2" s="4">
        <v>101</v>
      </c>
      <c r="B2" s="4" t="s">
        <v>2</v>
      </c>
      <c r="C2" s="8">
        <v>79739.039999999804</v>
      </c>
      <c r="D2" s="5" t="s">
        <v>58</v>
      </c>
      <c r="E2" s="8">
        <v>1419572.7500000002</v>
      </c>
      <c r="F2" s="14">
        <v>1666182.1500000001</v>
      </c>
      <c r="G2" s="14">
        <v>100124.34</v>
      </c>
      <c r="H2" s="14">
        <f>ROUND(Tabela13[[#This Row],[RSF 2023
]]*$G$46/Tabela13[[#Totals],[RSF 2023
]],2)+Tabela13[[#This Row],[RSF 2023
]]</f>
        <v>100127.98</v>
      </c>
      <c r="I2" s="14">
        <v>1566057.81</v>
      </c>
      <c r="J2" s="14">
        <f>ROUND(I2*'2024-PREGLED'!$E$11/'2024-PREGLED'!$E$10,2)</f>
        <v>1647303.98</v>
      </c>
      <c r="K2" s="14">
        <f>ROUND(Tabela13[[#This Row],[Izravnava nesorazmerij total (sklep 15.7.2022)]]*'2024-PREGLED'!$E$18/'2024-PREGLED'!$E$21,2)</f>
        <v>9519.17</v>
      </c>
      <c r="L2" s="14">
        <f>Tabela13[[#This Row],[(ISF-O + PSF-O)2024 po ZZrID 25/1]]+Tabela13[[#This Row],[Izravnava nesorazmerij 2024 po ZZrID 103/9]]</f>
        <v>1656823.15</v>
      </c>
      <c r="M2" s="14">
        <f>Tabela13[[#This Row],[(ISF-O + PSF-O)2024
]]+Tabela13[[#This Row],[RSF 2024
]]</f>
        <v>1756951.13</v>
      </c>
      <c r="N2" s="14">
        <f>Tabela13[[#This Row],[(ISF-O + PSF-O)2024
]]-Tabela13[[#This Row],[(ISF-O + PSF-O)2023
]]</f>
        <v>90765.339999999851</v>
      </c>
      <c r="O2" s="26">
        <f>Tabela13[[#This Row],[RSF 2024
]]/Tabela13[[#This Row],[(ISF-O + PSF-O)2024 po ZZrID 25/1]]</f>
        <v>6.0782940620346219E-2</v>
      </c>
      <c r="P2" s="27">
        <f>Tabela13[[#This Row],[(ISF-O + PSF-O)2024 po ZZrID 25/1]]/Tabela13[[#This Row],[(ISF-O + PSF-O)2023
]]</f>
        <v>1.051879419444931</v>
      </c>
      <c r="Q2" s="27">
        <f>IF(Tabela13[[#This Row],[MATIČNA RO vsaj enemu RPROG]]="DA",Tabela13[[#This Row],[Izravnava nesorazmerij 2024 po ZZrID 103/9]]/Tabela13[[#This Row],[Izravnava nesorazmerij total (sklep 15.7.2022)]],"-")</f>
        <v>0.11937903942660989</v>
      </c>
      <c r="R2" s="9">
        <f>Tabela13[[#This Row],[Stabilno financiranje 2024]]-Tabela13[[#This Row],[Stabilno financiranje 2023
=G+I]]</f>
        <v>90768.979999999749</v>
      </c>
    </row>
    <row r="3" spans="1:18" x14ac:dyDescent="0.4">
      <c r="A3" s="4">
        <v>104</v>
      </c>
      <c r="B3" s="4" t="s">
        <v>3</v>
      </c>
      <c r="C3" s="8">
        <v>2341791.6900000013</v>
      </c>
      <c r="D3" s="5" t="s">
        <v>58</v>
      </c>
      <c r="E3" s="8">
        <v>13622472.619999999</v>
      </c>
      <c r="F3" s="14">
        <v>16305517.76</v>
      </c>
      <c r="G3" s="14">
        <v>979832.34</v>
      </c>
      <c r="H3" s="14">
        <f>ROUND(Tabela13[[#This Row],[RSF 2023
]]*$G$46/Tabela13[[#Totals],[RSF 2023
]],2)+Tabela13[[#This Row],[RSF 2023
]]</f>
        <v>979867.98</v>
      </c>
      <c r="I3" s="14">
        <v>15325685.42</v>
      </c>
      <c r="J3" s="14">
        <f>ROUND(I3*'2024-PREGLED'!$E$11/'2024-PREGLED'!$E$10,2)</f>
        <v>16120773.039999999</v>
      </c>
      <c r="K3" s="14">
        <f>ROUND(Tabela13[[#This Row],[Izravnava nesorazmerij total (sklep 15.7.2022)]]*'2024-PREGLED'!$E$18/'2024-PREGLED'!$E$21,2)</f>
        <v>279560.90000000002</v>
      </c>
      <c r="L3" s="14">
        <f>Tabela13[[#This Row],[(ISF-O + PSF-O)2024 po ZZrID 25/1]]+Tabela13[[#This Row],[Izravnava nesorazmerij 2024 po ZZrID 103/9]]</f>
        <v>16400333.939999999</v>
      </c>
      <c r="M3" s="14">
        <f>Tabela13[[#This Row],[(ISF-O + PSF-O)2024
]]+Tabela13[[#This Row],[RSF 2024
]]</f>
        <v>17380201.919999998</v>
      </c>
      <c r="N3" s="14">
        <f>Tabela13[[#This Row],[(ISF-O + PSF-O)2024
]]-Tabela13[[#This Row],[(ISF-O + PSF-O)2023
]]</f>
        <v>1074648.5199999996</v>
      </c>
      <c r="O3" s="26">
        <f>Tabela13[[#This Row],[RSF 2024
]]/Tabela13[[#This Row],[(ISF-O + PSF-O)2024 po ZZrID 25/1]]</f>
        <v>6.0782939972461772E-2</v>
      </c>
      <c r="P3" s="27">
        <f>Tabela13[[#This Row],[(ISF-O + PSF-O)2024 po ZZrID 25/1]]/Tabela13[[#This Row],[(ISF-O + PSF-O)2023
]]</f>
        <v>1.0518794166923464</v>
      </c>
      <c r="Q3" s="27">
        <f>IF(Tabela13[[#This Row],[MATIČNA RO vsaj enemu RPROG]]="DA",Tabela13[[#This Row],[Izravnava nesorazmerij 2024 po ZZrID 103/9]]/Tabela13[[#This Row],[Izravnava nesorazmerij total (sklep 15.7.2022)]],"-")</f>
        <v>0.11937906398497804</v>
      </c>
      <c r="R3" s="9">
        <f>Tabela13[[#This Row],[Stabilno financiranje 2024]]-Tabela13[[#This Row],[Stabilno financiranje 2023
=G+I]]</f>
        <v>1074684.1599999983</v>
      </c>
    </row>
    <row r="4" spans="1:18" x14ac:dyDescent="0.4">
      <c r="A4" s="4">
        <v>105</v>
      </c>
      <c r="B4" s="4" t="s">
        <v>4</v>
      </c>
      <c r="C4" s="8">
        <v>568017.04</v>
      </c>
      <c r="D4" s="5" t="s">
        <v>58</v>
      </c>
      <c r="E4" s="8">
        <v>5617090.9299999997</v>
      </c>
      <c r="F4" s="14">
        <v>7668871.4199999999</v>
      </c>
      <c r="G4" s="14">
        <v>399227.17</v>
      </c>
      <c r="H4" s="14">
        <f>ROUND(Tabela13[[#This Row],[RSF 2023
]]*$G$46/Tabela13[[#Totals],[RSF 2023
]],2)+Tabela13[[#This Row],[RSF 2023
]]</f>
        <v>399241.69</v>
      </c>
      <c r="I4" s="14">
        <v>7269644.25</v>
      </c>
      <c r="J4" s="14">
        <f>ROUND(I4*'2024-PREGLED'!$E$11/'2024-PREGLED'!$E$10,2)</f>
        <v>7646789.1500000004</v>
      </c>
      <c r="K4" s="14">
        <f>ROUND(Tabela13[[#This Row],[Izravnava nesorazmerij total (sklep 15.7.2022)]]*'2024-PREGLED'!$E$18/'2024-PREGLED'!$E$21,2)</f>
        <v>67809.34</v>
      </c>
      <c r="L4" s="14">
        <f>Tabela13[[#This Row],[(ISF-O + PSF-O)2024 po ZZrID 25/1]]+Tabela13[[#This Row],[Izravnava nesorazmerij 2024 po ZZrID 103/9]]</f>
        <v>7714598.4900000002</v>
      </c>
      <c r="M4" s="14">
        <f>Tabela13[[#This Row],[(ISF-O + PSF-O)2024
]]+Tabela13[[#This Row],[RSF 2024
]]</f>
        <v>8113840.1800000006</v>
      </c>
      <c r="N4" s="14">
        <f>Tabela13[[#This Row],[(ISF-O + PSF-O)2024
]]-Tabela13[[#This Row],[(ISF-O + PSF-O)2023
]]</f>
        <v>444954.24000000022</v>
      </c>
      <c r="O4" s="26">
        <f>Tabela13[[#This Row],[RSF 2024
]]/Tabela13[[#This Row],[(ISF-O + PSF-O)2024 po ZZrID 25/1]]</f>
        <v>5.2210369891001897E-2</v>
      </c>
      <c r="P4" s="27">
        <f>Tabela13[[#This Row],[(ISF-O + PSF-O)2024 po ZZrID 25/1]]/Tabela13[[#This Row],[(ISF-O + PSF-O)2023
]]</f>
        <v>1.0518794162451623</v>
      </c>
      <c r="Q4" s="27">
        <f>IF(Tabela13[[#This Row],[MATIČNA RO vsaj enemu RPROG]]="DA",Tabela13[[#This Row],[Izravnava nesorazmerij 2024 po ZZrID 103/9]]/Tabela13[[#This Row],[Izravnava nesorazmerij total (sklep 15.7.2022)]],"-")</f>
        <v>0.11937905947328621</v>
      </c>
      <c r="R4" s="9">
        <f>Tabela13[[#This Row],[Stabilno financiranje 2024]]-Tabela13[[#This Row],[Stabilno financiranje 2023
=G+I]]</f>
        <v>444968.76000000071</v>
      </c>
    </row>
    <row r="5" spans="1:18" x14ac:dyDescent="0.4">
      <c r="A5" s="4">
        <v>106</v>
      </c>
      <c r="B5" s="4" t="s">
        <v>5</v>
      </c>
      <c r="C5" s="8">
        <v>3749955.1899999976</v>
      </c>
      <c r="D5" s="5" t="s">
        <v>58</v>
      </c>
      <c r="E5" s="8">
        <v>38174928.259999998</v>
      </c>
      <c r="F5" s="14">
        <v>45129074.089999996</v>
      </c>
      <c r="G5" s="14">
        <v>2711899.54</v>
      </c>
      <c r="H5" s="14">
        <f>ROUND(Tabela13[[#This Row],[RSF 2023
]]*$G$46/Tabela13[[#Totals],[RSF 2023
]],2)+Tabela13[[#This Row],[RSF 2023
]]</f>
        <v>2711998.17</v>
      </c>
      <c r="I5" s="14">
        <v>42417174.549999997</v>
      </c>
      <c r="J5" s="14">
        <f>ROUND(I5*'2024-PREGLED'!$E$11/'2024-PREGLED'!$E$10,2)</f>
        <v>44617752.82</v>
      </c>
      <c r="K5" s="14">
        <f>ROUND(Tabela13[[#This Row],[Izravnava nesorazmerij total (sklep 15.7.2022)]]*'2024-PREGLED'!$E$18/'2024-PREGLED'!$E$21,2)</f>
        <v>447666.14</v>
      </c>
      <c r="L5" s="14">
        <f>Tabela13[[#This Row],[(ISF-O + PSF-O)2024 po ZZrID 25/1]]+Tabela13[[#This Row],[Izravnava nesorazmerij 2024 po ZZrID 103/9]]</f>
        <v>45065418.960000001</v>
      </c>
      <c r="M5" s="14">
        <f>Tabela13[[#This Row],[(ISF-O + PSF-O)2024
]]+Tabela13[[#This Row],[RSF 2024
]]</f>
        <v>47777417.130000003</v>
      </c>
      <c r="N5" s="14">
        <f>Tabela13[[#This Row],[(ISF-O + PSF-O)2024
]]-Tabela13[[#This Row],[(ISF-O + PSF-O)2023
]]</f>
        <v>2648244.4100000039</v>
      </c>
      <c r="O5" s="26">
        <f>Tabela13[[#This Row],[RSF 2024
]]/Tabela13[[#This Row],[(ISF-O + PSF-O)2024 po ZZrID 25/1]]</f>
        <v>6.0782939493634495E-2</v>
      </c>
      <c r="P5" s="27">
        <f>Tabela13[[#This Row],[(ISF-O + PSF-O)2024 po ZZrID 25/1]]/Tabela13[[#This Row],[(ISF-O + PSF-O)2023
]]</f>
        <v>1.0518794166123921</v>
      </c>
      <c r="Q5" s="27">
        <f>IF(Tabela13[[#This Row],[MATIČNA RO vsaj enemu RPROG]]="DA",Tabela13[[#This Row],[Izravnava nesorazmerij 2024 po ZZrID 103/9]]/Tabela13[[#This Row],[Izravnava nesorazmerij total (sklep 15.7.2022)]],"-")</f>
        <v>0.11937906383356019</v>
      </c>
      <c r="R5" s="9">
        <f>Tabela13[[#This Row],[Stabilno financiranje 2024]]-Tabela13[[#This Row],[Stabilno financiranje 2023
=G+I]]</f>
        <v>2648343.0400000066</v>
      </c>
    </row>
    <row r="6" spans="1:18" x14ac:dyDescent="0.4">
      <c r="A6" s="4">
        <v>176</v>
      </c>
      <c r="B6" s="4" t="s">
        <v>6</v>
      </c>
      <c r="C6" s="8">
        <v>128965.15000000002</v>
      </c>
      <c r="D6" s="5" t="s">
        <v>58</v>
      </c>
      <c r="E6" s="8">
        <v>257568.19</v>
      </c>
      <c r="F6" s="14">
        <v>325301</v>
      </c>
      <c r="G6" s="14">
        <v>19548.009999999998</v>
      </c>
      <c r="H6" s="14">
        <f>ROUND(Tabela13[[#This Row],[RSF 2023
]]*$G$46/Tabela13[[#Totals],[RSF 2023
]],2)+Tabela13[[#This Row],[RSF 2023
]]</f>
        <v>19548.719999999998</v>
      </c>
      <c r="I6" s="14">
        <v>305752.99</v>
      </c>
      <c r="J6" s="14">
        <f>ROUND(I6*'2024-PREGLED'!$E$11/'2024-PREGLED'!$E$10,2)</f>
        <v>321615.28000000003</v>
      </c>
      <c r="K6" s="14">
        <f>ROUND(Tabela13[[#This Row],[Izravnava nesorazmerij total (sklep 15.7.2022)]]*'2024-PREGLED'!$E$18/'2024-PREGLED'!$E$21,2)</f>
        <v>15395.74</v>
      </c>
      <c r="L6" s="14">
        <f>Tabela13[[#This Row],[(ISF-O + PSF-O)2024 po ZZrID 25/1]]+Tabela13[[#This Row],[Izravnava nesorazmerij 2024 po ZZrID 103/9]]</f>
        <v>337011.02</v>
      </c>
      <c r="M6" s="14">
        <f>Tabela13[[#This Row],[(ISF-O + PSF-O)2024
]]+Tabela13[[#This Row],[RSF 2024
]]</f>
        <v>356559.74</v>
      </c>
      <c r="N6" s="14">
        <f>Tabela13[[#This Row],[(ISF-O + PSF-O)2024
]]-Tabela13[[#This Row],[(ISF-O + PSF-O)2023
]]</f>
        <v>31258.030000000028</v>
      </c>
      <c r="O6" s="26">
        <f>Tabela13[[#This Row],[RSF 2024
]]/Tabela13[[#This Row],[(ISF-O + PSF-O)2024 po ZZrID 25/1]]</f>
        <v>6.078293295020061E-2</v>
      </c>
      <c r="P6" s="27">
        <f>Tabela13[[#This Row],[(ISF-O + PSF-O)2024 po ZZrID 25/1]]/Tabela13[[#This Row],[(ISF-O + PSF-O)2023
]]</f>
        <v>1.0518794272461571</v>
      </c>
      <c r="Q6" s="27">
        <f>IF(Tabela13[[#This Row],[MATIČNA RO vsaj enemu RPROG]]="DA",Tabela13[[#This Row],[Izravnava nesorazmerij 2024 po ZZrID 103/9]]/Tabela13[[#This Row],[Izravnava nesorazmerij total (sklep 15.7.2022)]],"-")</f>
        <v>0.1193790725634018</v>
      </c>
      <c r="R6" s="9">
        <f>Tabela13[[#This Row],[Stabilno financiranje 2024]]-Tabela13[[#This Row],[Stabilno financiranje 2023
=G+I]]</f>
        <v>31258.739999999991</v>
      </c>
    </row>
    <row r="7" spans="1:18" x14ac:dyDescent="0.4">
      <c r="A7" s="4">
        <v>206</v>
      </c>
      <c r="B7" s="4" t="s">
        <v>7</v>
      </c>
      <c r="C7" s="8">
        <v>280039.03000000026</v>
      </c>
      <c r="D7" s="5" t="s">
        <v>58</v>
      </c>
      <c r="E7" s="8">
        <v>2028206.8099999991</v>
      </c>
      <c r="F7" s="14">
        <v>2413899.34</v>
      </c>
      <c r="G7" s="14">
        <v>145056.21</v>
      </c>
      <c r="H7" s="14">
        <f>ROUND(Tabela13[[#This Row],[RSF 2023
]]*$G$46/Tabela13[[#Totals],[RSF 2023
]],2)+Tabela13[[#This Row],[RSF 2023
]]</f>
        <v>145061.49</v>
      </c>
      <c r="I7" s="14">
        <v>2268843.13</v>
      </c>
      <c r="J7" s="14">
        <f>ROUND(I7*'2024-PREGLED'!$E$11/'2024-PREGLED'!$E$10,2)</f>
        <v>2386549.39</v>
      </c>
      <c r="K7" s="14">
        <f>ROUND(Tabela13[[#This Row],[Izravnava nesorazmerij total (sklep 15.7.2022)]]*'2024-PREGLED'!$E$18/'2024-PREGLED'!$E$21,2)</f>
        <v>33430.800000000003</v>
      </c>
      <c r="L7" s="14">
        <f>Tabela13[[#This Row],[(ISF-O + PSF-O)2024 po ZZrID 25/1]]+Tabela13[[#This Row],[Izravnava nesorazmerij 2024 po ZZrID 103/9]]</f>
        <v>2419980.19</v>
      </c>
      <c r="M7" s="14">
        <f>Tabela13[[#This Row],[(ISF-O + PSF-O)2024
]]+Tabela13[[#This Row],[RSF 2024
]]</f>
        <v>2565041.6799999997</v>
      </c>
      <c r="N7" s="14">
        <f>Tabela13[[#This Row],[(ISF-O + PSF-O)2024
]]-Tabela13[[#This Row],[(ISF-O + PSF-O)2023
]]</f>
        <v>151137.06000000006</v>
      </c>
      <c r="O7" s="26">
        <f>Tabela13[[#This Row],[RSF 2024
]]/Tabela13[[#This Row],[(ISF-O + PSF-O)2024 po ZZrID 25/1]]</f>
        <v>6.0782940679052939E-2</v>
      </c>
      <c r="P7" s="27">
        <f>Tabela13[[#This Row],[(ISF-O + PSF-O)2024 po ZZrID 25/1]]/Tabela13[[#This Row],[(ISF-O + PSF-O)2023
]]</f>
        <v>1.0518794175073709</v>
      </c>
      <c r="Q7" s="27">
        <f>IF(Tabela13[[#This Row],[MATIČNA RO vsaj enemu RPROG]]="DA",Tabela13[[#This Row],[Izravnava nesorazmerij 2024 po ZZrID 103/9]]/Tabela13[[#This Row],[Izravnava nesorazmerij total (sklep 15.7.2022)]],"-")</f>
        <v>0.11937907369554869</v>
      </c>
      <c r="R7" s="9">
        <f>Tabela13[[#This Row],[Stabilno financiranje 2024]]-Tabela13[[#This Row],[Stabilno financiranje 2023
=G+I]]</f>
        <v>151142.33999999985</v>
      </c>
    </row>
    <row r="8" spans="1:18" x14ac:dyDescent="0.4">
      <c r="A8" s="4">
        <v>215</v>
      </c>
      <c r="B8" s="4" t="s">
        <v>8</v>
      </c>
      <c r="C8" s="8">
        <v>148058.35999999987</v>
      </c>
      <c r="D8" s="5" t="s">
        <v>58</v>
      </c>
      <c r="E8" s="8">
        <v>2986403.19</v>
      </c>
      <c r="F8" s="14">
        <v>3501250.23</v>
      </c>
      <c r="G8" s="14">
        <v>210397.38</v>
      </c>
      <c r="H8" s="14">
        <f>ROUND(Tabela13[[#This Row],[RSF 2023
]]*$G$46/Tabela13[[#Totals],[RSF 2023
]],2)+Tabela13[[#This Row],[RSF 2023
]]</f>
        <v>210405.03</v>
      </c>
      <c r="I8" s="14">
        <v>3290852.85</v>
      </c>
      <c r="J8" s="14">
        <f>ROUND(I8*'2024-PREGLED'!$E$11/'2024-PREGLED'!$E$10,2)</f>
        <v>3461580.38</v>
      </c>
      <c r="K8" s="14">
        <f>ROUND(Tabela13[[#This Row],[Izravnava nesorazmerij total (sklep 15.7.2022)]]*'2024-PREGLED'!$E$18/'2024-PREGLED'!$E$21,2)</f>
        <v>17675.07</v>
      </c>
      <c r="L8" s="14">
        <f>Tabela13[[#This Row],[(ISF-O + PSF-O)2024 po ZZrID 25/1]]+Tabela13[[#This Row],[Izravnava nesorazmerij 2024 po ZZrID 103/9]]</f>
        <v>3479255.4499999997</v>
      </c>
      <c r="M8" s="14">
        <f>Tabela13[[#This Row],[(ISF-O + PSF-O)2024
]]+Tabela13[[#This Row],[RSF 2024
]]</f>
        <v>3689660.4799999995</v>
      </c>
      <c r="N8" s="14">
        <f>Tabela13[[#This Row],[(ISF-O + PSF-O)2024
]]-Tabela13[[#This Row],[(ISF-O + PSF-O)2023
]]</f>
        <v>188402.59999999963</v>
      </c>
      <c r="O8" s="26">
        <f>Tabela13[[#This Row],[RSF 2024
]]/Tabela13[[#This Row],[(ISF-O + PSF-O)2024 po ZZrID 25/1]]</f>
        <v>6.0782939265446152E-2</v>
      </c>
      <c r="P8" s="27">
        <f>Tabela13[[#This Row],[(ISF-O + PSF-O)2024 po ZZrID 25/1]]/Tabela13[[#This Row],[(ISF-O + PSF-O)2023
]]</f>
        <v>1.0518794178232551</v>
      </c>
      <c r="Q8" s="27">
        <f>IF(Tabela13[[#This Row],[MATIČNA RO vsaj enemu RPROG]]="DA",Tabela13[[#This Row],[Izravnava nesorazmerij 2024 po ZZrID 103/9]]/Tabela13[[#This Row],[Izravnava nesorazmerij total (sklep 15.7.2022)]],"-")</f>
        <v>0.11937907457572822</v>
      </c>
      <c r="R8" s="9">
        <f>Tabela13[[#This Row],[Stabilno financiranje 2024]]-Tabela13[[#This Row],[Stabilno financiranje 2023
=G+I]]</f>
        <v>188410.24999999953</v>
      </c>
    </row>
    <row r="9" spans="1:18" x14ac:dyDescent="0.4">
      <c r="A9" s="4">
        <v>302</v>
      </c>
      <c r="B9" s="4" t="s">
        <v>9</v>
      </c>
      <c r="C9" s="8">
        <v>190995.75000000023</v>
      </c>
      <c r="D9" s="5" t="s">
        <v>58</v>
      </c>
      <c r="E9" s="8">
        <v>1719281.95</v>
      </c>
      <c r="F9" s="14">
        <v>2036914.3099999998</v>
      </c>
      <c r="G9" s="14">
        <v>122402.4</v>
      </c>
      <c r="H9" s="14">
        <f>ROUND(Tabela13[[#This Row],[RSF 2023
]]*$G$46/Tabela13[[#Totals],[RSF 2023
]],2)+Tabela13[[#This Row],[RSF 2023
]]</f>
        <v>122406.84999999999</v>
      </c>
      <c r="I9" s="14">
        <v>1914511.91</v>
      </c>
      <c r="J9" s="14">
        <f>ROUND(I9*'2024-PREGLED'!$E$11/'2024-PREGLED'!$E$10,2)</f>
        <v>2013835.67</v>
      </c>
      <c r="K9" s="14">
        <f>ROUND(Tabela13[[#This Row],[Izravnava nesorazmerij total (sklep 15.7.2022)]]*'2024-PREGLED'!$E$18/'2024-PREGLED'!$E$21,2)</f>
        <v>22800.89</v>
      </c>
      <c r="L9" s="14">
        <f>Tabela13[[#This Row],[(ISF-O + PSF-O)2024 po ZZrID 25/1]]+Tabela13[[#This Row],[Izravnava nesorazmerij 2024 po ZZrID 103/9]]</f>
        <v>2036636.5599999998</v>
      </c>
      <c r="M9" s="14">
        <f>Tabela13[[#This Row],[(ISF-O + PSF-O)2024
]]+Tabela13[[#This Row],[RSF 2024
]]</f>
        <v>2159043.4099999997</v>
      </c>
      <c r="N9" s="14">
        <f>Tabela13[[#This Row],[(ISF-O + PSF-O)2024
]]-Tabela13[[#This Row],[(ISF-O + PSF-O)2023
]]</f>
        <v>122124.64999999991</v>
      </c>
      <c r="O9" s="26">
        <f>Tabela13[[#This Row],[RSF 2024
]]/Tabela13[[#This Row],[(ISF-O + PSF-O)2024 po ZZrID 25/1]]</f>
        <v>6.078293865953819E-2</v>
      </c>
      <c r="P9" s="27">
        <f>Tabela13[[#This Row],[(ISF-O + PSF-O)2024 po ZZrID 25/1]]/Tabela13[[#This Row],[(ISF-O + PSF-O)2023
]]</f>
        <v>1.0518794160961893</v>
      </c>
      <c r="Q9" s="27">
        <f>IF(Tabela13[[#This Row],[MATIČNA RO vsaj enemu RPROG]]="DA",Tabela13[[#This Row],[Izravnava nesorazmerij 2024 po ZZrID 103/9]]/Tabela13[[#This Row],[Izravnava nesorazmerij total (sklep 15.7.2022)]],"-")</f>
        <v>0.11937904377453411</v>
      </c>
      <c r="R9" s="9">
        <f>Tabela13[[#This Row],[Stabilno financiranje 2024]]-Tabela13[[#This Row],[Stabilno financiranje 2023
=G+I]]</f>
        <v>122129.09999999986</v>
      </c>
    </row>
    <row r="10" spans="1:18" x14ac:dyDescent="0.4">
      <c r="A10" s="4">
        <v>309</v>
      </c>
      <c r="B10" s="4" t="s">
        <v>10</v>
      </c>
      <c r="C10" s="8">
        <v>0</v>
      </c>
      <c r="D10" s="5" t="s">
        <v>59</v>
      </c>
      <c r="E10" s="8">
        <v>86584.109999999986</v>
      </c>
      <c r="F10" s="14">
        <v>100649.11</v>
      </c>
      <c r="G10" s="14">
        <v>6048.21</v>
      </c>
      <c r="H10" s="14">
        <f>ROUND(Tabela13[[#This Row],[RSF 2023
]]*$G$46/Tabela13[[#Totals],[RSF 2023
]],2)+Tabela13[[#This Row],[RSF 2023
]]</f>
        <v>6048.43</v>
      </c>
      <c r="I10" s="14">
        <v>94600.9</v>
      </c>
      <c r="J10" s="14">
        <f>ROUND(I10*'2024-PREGLED'!$E$11/'2024-PREGLED'!$E$10,2)</f>
        <v>99508.74</v>
      </c>
      <c r="K10" s="14">
        <f>ROUND(Tabela13[[#This Row],[Izravnava nesorazmerij total (sklep 15.7.2022)]]*'2024-PREGLED'!$E$18/'2024-PREGLED'!$E$21,2)</f>
        <v>0</v>
      </c>
      <c r="L10" s="14">
        <f>Tabela13[[#This Row],[(ISF-O + PSF-O)2024 po ZZrID 25/1]]+Tabela13[[#This Row],[Izravnava nesorazmerij 2024 po ZZrID 103/9]]</f>
        <v>99508.74</v>
      </c>
      <c r="M10" s="14">
        <f>Tabela13[[#This Row],[(ISF-O + PSF-O)2024
]]+Tabela13[[#This Row],[RSF 2024
]]</f>
        <v>105557.17000000001</v>
      </c>
      <c r="N10" s="14">
        <f>Tabela13[[#This Row],[(ISF-O + PSF-O)2024
]]-Tabela13[[#This Row],[(ISF-O + PSF-O)2023
]]</f>
        <v>4907.8400000000111</v>
      </c>
      <c r="O10" s="26">
        <f>Tabela13[[#This Row],[RSF 2024
]]/Tabela13[[#This Row],[(ISF-O + PSF-O)2024 po ZZrID 25/1]]</f>
        <v>6.0782902084781695E-2</v>
      </c>
      <c r="P10" s="27">
        <f>Tabela13[[#This Row],[(ISF-O + PSF-O)2024 po ZZrID 25/1]]/Tabela13[[#This Row],[(ISF-O + PSF-O)2023
]]</f>
        <v>1.0518794218659655</v>
      </c>
      <c r="Q10" s="27" t="str">
        <f>IF(Tabela13[[#This Row],[MATIČNA RO vsaj enemu RPROG]]="DA",Tabela13[[#This Row],[Izravnava nesorazmerij 2024 po ZZrID 103/9]]/Tabela13[[#This Row],[Izravnava nesorazmerij total (sklep 15.7.2022)]],"-")</f>
        <v>-</v>
      </c>
      <c r="R10" s="9">
        <f>Tabela13[[#This Row],[Stabilno financiranje 2024]]-Tabela13[[#This Row],[Stabilno financiranje 2023
=G+I]]</f>
        <v>4908.0600000000122</v>
      </c>
    </row>
    <row r="11" spans="1:18" x14ac:dyDescent="0.4">
      <c r="A11" s="4">
        <v>311</v>
      </c>
      <c r="B11" s="4" t="s">
        <v>11</v>
      </c>
      <c r="C11" s="8">
        <v>0</v>
      </c>
      <c r="D11" s="5" t="s">
        <v>59</v>
      </c>
      <c r="E11" s="8">
        <v>238201.22999999998</v>
      </c>
      <c r="F11" s="14">
        <v>276895.41000000003</v>
      </c>
      <c r="G11" s="14">
        <v>16639.22</v>
      </c>
      <c r="H11" s="14">
        <f>ROUND(Tabela13[[#This Row],[RSF 2023
]]*$G$46/Tabela13[[#Totals],[RSF 2023
]],2)+Tabela13[[#This Row],[RSF 2023
]]</f>
        <v>16639.830000000002</v>
      </c>
      <c r="I11" s="14">
        <v>260256.19</v>
      </c>
      <c r="J11" s="14">
        <f>ROUND(I11*'2024-PREGLED'!$E$11/'2024-PREGLED'!$E$10,2)</f>
        <v>273758.13</v>
      </c>
      <c r="K11" s="14">
        <f>ROUND(Tabela13[[#This Row],[Izravnava nesorazmerij total (sklep 15.7.2022)]]*'2024-PREGLED'!$E$18/'2024-PREGLED'!$E$21,2)</f>
        <v>0</v>
      </c>
      <c r="L11" s="14">
        <f>Tabela13[[#This Row],[(ISF-O + PSF-O)2024 po ZZrID 25/1]]+Tabela13[[#This Row],[Izravnava nesorazmerij 2024 po ZZrID 103/9]]</f>
        <v>273758.13</v>
      </c>
      <c r="M11" s="14">
        <f>Tabela13[[#This Row],[(ISF-O + PSF-O)2024
]]+Tabela13[[#This Row],[RSF 2024
]]</f>
        <v>290397.96000000002</v>
      </c>
      <c r="N11" s="14">
        <f>Tabela13[[#This Row],[(ISF-O + PSF-O)2024
]]-Tabela13[[#This Row],[(ISF-O + PSF-O)2023
]]</f>
        <v>13501.940000000002</v>
      </c>
      <c r="O11" s="26">
        <f>Tabela13[[#This Row],[RSF 2024
]]/Tabela13[[#This Row],[(ISF-O + PSF-O)2024 po ZZrID 25/1]]</f>
        <v>6.0782961952582017E-2</v>
      </c>
      <c r="P11" s="27">
        <f>Tabela13[[#This Row],[(ISF-O + PSF-O)2024 po ZZrID 25/1]]/Tabela13[[#This Row],[(ISF-O + PSF-O)2023
]]</f>
        <v>1.0518794192752918</v>
      </c>
      <c r="Q11" s="27" t="str">
        <f>IF(Tabela13[[#This Row],[MATIČNA RO vsaj enemu RPROG]]="DA",Tabela13[[#This Row],[Izravnava nesorazmerij 2024 po ZZrID 103/9]]/Tabela13[[#This Row],[Izravnava nesorazmerij total (sklep 15.7.2022)]],"-")</f>
        <v>-</v>
      </c>
      <c r="R11" s="9">
        <f>Tabela13[[#This Row],[Stabilno financiranje 2024]]-Tabela13[[#This Row],[Stabilno financiranje 2023
=G+I]]</f>
        <v>13502.549999999988</v>
      </c>
    </row>
    <row r="12" spans="1:18" x14ac:dyDescent="0.4">
      <c r="A12" s="4">
        <v>312</v>
      </c>
      <c r="B12" s="4" t="s">
        <v>12</v>
      </c>
      <c r="C12" s="8">
        <v>1178842.46</v>
      </c>
      <c r="D12" s="5" t="s">
        <v>58</v>
      </c>
      <c r="E12" s="8">
        <v>4014067.6399999997</v>
      </c>
      <c r="F12" s="14">
        <v>4902804.4799999995</v>
      </c>
      <c r="G12" s="14">
        <v>294619.68</v>
      </c>
      <c r="H12" s="14">
        <f>ROUND(Tabela13[[#This Row],[RSF 2023
]]*$G$46/Tabela13[[#Totals],[RSF 2023
]],2)+Tabela13[[#This Row],[RSF 2023
]]</f>
        <v>294630.39</v>
      </c>
      <c r="I12" s="14">
        <v>4608184.8</v>
      </c>
      <c r="J12" s="14">
        <f>ROUND(I12*'2024-PREGLED'!$E$11/'2024-PREGLED'!$E$10,2)</f>
        <v>4847254.74</v>
      </c>
      <c r="K12" s="14">
        <f>ROUND(Tabela13[[#This Row],[Izravnava nesorazmerij total (sklep 15.7.2022)]]*'2024-PREGLED'!$E$18/'2024-PREGLED'!$E$21,2)</f>
        <v>140729.10999999999</v>
      </c>
      <c r="L12" s="14">
        <f>Tabela13[[#This Row],[(ISF-O + PSF-O)2024 po ZZrID 25/1]]+Tabela13[[#This Row],[Izravnava nesorazmerij 2024 po ZZrID 103/9]]</f>
        <v>4987983.8500000006</v>
      </c>
      <c r="M12" s="14">
        <f>Tabela13[[#This Row],[(ISF-O + PSF-O)2024
]]+Tabela13[[#This Row],[RSF 2024
]]</f>
        <v>5282614.24</v>
      </c>
      <c r="N12" s="14">
        <f>Tabela13[[#This Row],[(ISF-O + PSF-O)2024
]]-Tabela13[[#This Row],[(ISF-O + PSF-O)2023
]]</f>
        <v>379799.05000000075</v>
      </c>
      <c r="O12" s="26">
        <f>Tabela13[[#This Row],[RSF 2024
]]/Tabela13[[#This Row],[(ISF-O + PSF-O)2024 po ZZrID 25/1]]</f>
        <v>6.0782939169398802E-2</v>
      </c>
      <c r="P12" s="27">
        <f>Tabela13[[#This Row],[(ISF-O + PSF-O)2024 po ZZrID 25/1]]/Tabela13[[#This Row],[(ISF-O + PSF-O)2023
]]</f>
        <v>1.0518794168150549</v>
      </c>
      <c r="Q12" s="27">
        <f>IF(Tabela13[[#This Row],[MATIČNA RO vsaj enemu RPROG]]="DA",Tabela13[[#This Row],[Izravnava nesorazmerij 2024 po ZZrID 103/9]]/Tabela13[[#This Row],[Izravnava nesorazmerij total (sklep 15.7.2022)]],"-")</f>
        <v>0.11937906444258888</v>
      </c>
      <c r="R12" s="9">
        <f>Tabela13[[#This Row],[Stabilno financiranje 2024]]-Tabela13[[#This Row],[Stabilno financiranje 2023
=G+I]]</f>
        <v>379809.76000000071</v>
      </c>
    </row>
    <row r="13" spans="1:18" x14ac:dyDescent="0.4">
      <c r="A13" s="4">
        <v>334</v>
      </c>
      <c r="B13" s="4" t="s">
        <v>13</v>
      </c>
      <c r="C13" s="8">
        <v>111867.96999999997</v>
      </c>
      <c r="D13" s="5" t="s">
        <v>58</v>
      </c>
      <c r="E13" s="8">
        <v>404399.4</v>
      </c>
      <c r="F13" s="14">
        <v>492551.32</v>
      </c>
      <c r="G13" s="14">
        <v>29598.43</v>
      </c>
      <c r="H13" s="14">
        <f>ROUND(Tabela13[[#This Row],[RSF 2023
]]*$G$46/Tabela13[[#Totals],[RSF 2023
]],2)+Tabela13[[#This Row],[RSF 2023
]]</f>
        <v>29599.510000000002</v>
      </c>
      <c r="I13" s="14">
        <v>462952.89</v>
      </c>
      <c r="J13" s="14">
        <f>ROUND(I13*'2024-PREGLED'!$E$11/'2024-PREGLED'!$E$10,2)</f>
        <v>486970.62</v>
      </c>
      <c r="K13" s="14">
        <f>ROUND(Tabela13[[#This Row],[Izravnava nesorazmerij total (sklep 15.7.2022)]]*'2024-PREGLED'!$E$18/'2024-PREGLED'!$E$21,2)</f>
        <v>13354.69</v>
      </c>
      <c r="L13" s="14">
        <f>Tabela13[[#This Row],[(ISF-O + PSF-O)2024 po ZZrID 25/1]]+Tabela13[[#This Row],[Izravnava nesorazmerij 2024 po ZZrID 103/9]]</f>
        <v>500325.31</v>
      </c>
      <c r="M13" s="14">
        <f>Tabela13[[#This Row],[(ISF-O + PSF-O)2024
]]+Tabela13[[#This Row],[RSF 2024
]]</f>
        <v>529924.81999999995</v>
      </c>
      <c r="N13" s="14">
        <f>Tabela13[[#This Row],[(ISF-O + PSF-O)2024
]]-Tabela13[[#This Row],[(ISF-O + PSF-O)2023
]]</f>
        <v>37372.419999999984</v>
      </c>
      <c r="O13" s="26">
        <f>Tabela13[[#This Row],[RSF 2024
]]/Tabela13[[#This Row],[(ISF-O + PSF-O)2024 po ZZrID 25/1]]</f>
        <v>6.078294826082116E-2</v>
      </c>
      <c r="P13" s="27">
        <f>Tabela13[[#This Row],[(ISF-O + PSF-O)2024 po ZZrID 25/1]]/Tabela13[[#This Row],[(ISF-O + PSF-O)2023
]]</f>
        <v>1.0518794255717898</v>
      </c>
      <c r="Q13" s="27">
        <f>IF(Tabela13[[#This Row],[MATIČNA RO vsaj enemu RPROG]]="DA",Tabela13[[#This Row],[Izravnava nesorazmerij 2024 po ZZrID 103/9]]/Tabela13[[#This Row],[Izravnava nesorazmerij total (sklep 15.7.2022)]],"-")</f>
        <v>0.11937903226455261</v>
      </c>
      <c r="R13" s="9">
        <f>Tabela13[[#This Row],[Stabilno financiranje 2024]]-Tabela13[[#This Row],[Stabilno financiranje 2023
=G+I]]</f>
        <v>37373.499999999942</v>
      </c>
    </row>
    <row r="14" spans="1:18" x14ac:dyDescent="0.4">
      <c r="A14" s="4">
        <v>355</v>
      </c>
      <c r="B14" s="4" t="s">
        <v>14</v>
      </c>
      <c r="C14" s="8">
        <v>0</v>
      </c>
      <c r="D14" s="5" t="s">
        <v>59</v>
      </c>
      <c r="E14" s="8">
        <v>16474.43</v>
      </c>
      <c r="F14" s="14">
        <v>19150.61</v>
      </c>
      <c r="G14" s="14">
        <v>1150.8</v>
      </c>
      <c r="H14" s="14">
        <f>ROUND(Tabela13[[#This Row],[RSF 2023
]]*$G$46/Tabela13[[#Totals],[RSF 2023
]],2)+Tabela13[[#This Row],[RSF 2023
]]</f>
        <v>1150.8399999999999</v>
      </c>
      <c r="I14" s="14">
        <v>17999.810000000001</v>
      </c>
      <c r="J14" s="14">
        <f>ROUND(I14*'2024-PREGLED'!$E$11/'2024-PREGLED'!$E$10,2)</f>
        <v>18933.63</v>
      </c>
      <c r="K14" s="14">
        <f>ROUND(Tabela13[[#This Row],[Izravnava nesorazmerij total (sklep 15.7.2022)]]*'2024-PREGLED'!$E$18/'2024-PREGLED'!$E$21,2)</f>
        <v>0</v>
      </c>
      <c r="L14" s="14">
        <f>Tabela13[[#This Row],[(ISF-O + PSF-O)2024 po ZZrID 25/1]]+Tabela13[[#This Row],[Izravnava nesorazmerij 2024 po ZZrID 103/9]]</f>
        <v>18933.63</v>
      </c>
      <c r="M14" s="14">
        <f>Tabela13[[#This Row],[(ISF-O + PSF-O)2024
]]+Tabela13[[#This Row],[RSF 2024
]]</f>
        <v>20084.47</v>
      </c>
      <c r="N14" s="14">
        <f>Tabela13[[#This Row],[(ISF-O + PSF-O)2024
]]-Tabela13[[#This Row],[(ISF-O + PSF-O)2023
]]</f>
        <v>933.81999999999971</v>
      </c>
      <c r="O14" s="26">
        <f>Tabela13[[#This Row],[RSF 2024
]]/Tabela13[[#This Row],[(ISF-O + PSF-O)2024 po ZZrID 25/1]]</f>
        <v>6.0782850409562238E-2</v>
      </c>
      <c r="P14" s="27">
        <f>Tabela13[[#This Row],[(ISF-O + PSF-O)2024 po ZZrID 25/1]]/Tabela13[[#This Row],[(ISF-O + PSF-O)2023
]]</f>
        <v>1.0518794365051631</v>
      </c>
      <c r="Q14" s="27" t="str">
        <f>IF(Tabela13[[#This Row],[MATIČNA RO vsaj enemu RPROG]]="DA",Tabela13[[#This Row],[Izravnava nesorazmerij 2024 po ZZrID 103/9]]/Tabela13[[#This Row],[Izravnava nesorazmerij total (sklep 15.7.2022)]],"-")</f>
        <v>-</v>
      </c>
      <c r="R14" s="9">
        <f>Tabela13[[#This Row],[Stabilno financiranje 2024]]-Tabela13[[#This Row],[Stabilno financiranje 2023
=G+I]]</f>
        <v>933.86000000000058</v>
      </c>
    </row>
    <row r="15" spans="1:18" x14ac:dyDescent="0.4">
      <c r="A15" s="4">
        <v>366</v>
      </c>
      <c r="B15" s="4" t="s">
        <v>15</v>
      </c>
      <c r="C15" s="8">
        <v>461837.99</v>
      </c>
      <c r="D15" s="5" t="s">
        <v>58</v>
      </c>
      <c r="E15" s="8">
        <v>285309.28999999998</v>
      </c>
      <c r="F15" s="14">
        <v>424380.01999999996</v>
      </c>
      <c r="G15" s="14">
        <v>25501.87</v>
      </c>
      <c r="H15" s="14">
        <f>ROUND(Tabela13[[#This Row],[RSF 2023
]]*$G$46/Tabela13[[#Totals],[RSF 2023
]],2)+Tabela13[[#This Row],[RSF 2023
]]</f>
        <v>25502.799999999999</v>
      </c>
      <c r="I15" s="14">
        <v>398878.14999999997</v>
      </c>
      <c r="J15" s="14">
        <f>ROUND(I15*'2024-PREGLED'!$E$11/'2024-PREGLED'!$E$10,2)</f>
        <v>419571.72</v>
      </c>
      <c r="K15" s="14">
        <f>ROUND(Tabela13[[#This Row],[Izravnava nesorazmerij total (sklep 15.7.2022)]]*'2024-PREGLED'!$E$18/'2024-PREGLED'!$E$21,2)</f>
        <v>55133.79</v>
      </c>
      <c r="L15" s="14">
        <f>Tabela13[[#This Row],[(ISF-O + PSF-O)2024 po ZZrID 25/1]]+Tabela13[[#This Row],[Izravnava nesorazmerij 2024 po ZZrID 103/9]]</f>
        <v>474705.50999999995</v>
      </c>
      <c r="M15" s="14">
        <f>Tabela13[[#This Row],[(ISF-O + PSF-O)2024
]]+Tabela13[[#This Row],[RSF 2024
]]</f>
        <v>500208.30999999994</v>
      </c>
      <c r="N15" s="14">
        <f>Tabela13[[#This Row],[(ISF-O + PSF-O)2024
]]-Tabela13[[#This Row],[(ISF-O + PSF-O)2023
]]</f>
        <v>75827.359999999986</v>
      </c>
      <c r="O15" s="26">
        <f>Tabela13[[#This Row],[RSF 2024
]]/Tabela13[[#This Row],[(ISF-O + PSF-O)2024 po ZZrID 25/1]]</f>
        <v>6.0782933606678739E-2</v>
      </c>
      <c r="P15" s="27">
        <f>Tabela13[[#This Row],[(ISF-O + PSF-O)2024 po ZZrID 25/1]]/Tabela13[[#This Row],[(ISF-O + PSF-O)2023
]]</f>
        <v>1.0518794273389003</v>
      </c>
      <c r="Q15" s="27">
        <f>IF(Tabela13[[#This Row],[MATIČNA RO vsaj enemu RPROG]]="DA",Tabela13[[#This Row],[Izravnava nesorazmerij 2024 po ZZrID 103/9]]/Tabela13[[#This Row],[Izravnava nesorazmerij total (sklep 15.7.2022)]],"-")</f>
        <v>0.11937907056974677</v>
      </c>
      <c r="R15" s="9">
        <f>Tabela13[[#This Row],[Stabilno financiranje 2024]]-Tabela13[[#This Row],[Stabilno financiranje 2023
=G+I]]</f>
        <v>75828.289999999979</v>
      </c>
    </row>
    <row r="16" spans="1:18" x14ac:dyDescent="0.4">
      <c r="A16" s="4">
        <v>401</v>
      </c>
      <c r="B16" s="4" t="s">
        <v>16</v>
      </c>
      <c r="C16" s="8">
        <v>166363.70999999996</v>
      </c>
      <c r="D16" s="5" t="s">
        <v>58</v>
      </c>
      <c r="E16" s="8">
        <v>3441736.2199999997</v>
      </c>
      <c r="F16" s="14">
        <v>4034224.24</v>
      </c>
      <c r="G16" s="14">
        <v>242424.89</v>
      </c>
      <c r="H16" s="14">
        <f>ROUND(Tabela13[[#This Row],[RSF 2023
]]*$G$46/Tabela13[[#Totals],[RSF 2023
]],2)+Tabela13[[#This Row],[RSF 2023
]]</f>
        <v>242433.71000000002</v>
      </c>
      <c r="I16" s="14">
        <v>3791799.35</v>
      </c>
      <c r="J16" s="14">
        <f>ROUND(I16*'2024-PREGLED'!$E$11/'2024-PREGLED'!$E$10,2)</f>
        <v>3988515.69</v>
      </c>
      <c r="K16" s="14">
        <f>ROUND(Tabela13[[#This Row],[Izravnava nesorazmerij total (sklep 15.7.2022)]]*'2024-PREGLED'!$E$18/'2024-PREGLED'!$E$21,2)</f>
        <v>19860.34</v>
      </c>
      <c r="L16" s="14">
        <f>Tabela13[[#This Row],[(ISF-O + PSF-O)2024 po ZZrID 25/1]]+Tabela13[[#This Row],[Izravnava nesorazmerij 2024 po ZZrID 103/9]]</f>
        <v>4008376.03</v>
      </c>
      <c r="M16" s="14">
        <f>Tabela13[[#This Row],[(ISF-O + PSF-O)2024
]]+Tabela13[[#This Row],[RSF 2024
]]</f>
        <v>4250809.74</v>
      </c>
      <c r="N16" s="14">
        <f>Tabela13[[#This Row],[(ISF-O + PSF-O)2024
]]-Tabela13[[#This Row],[(ISF-O + PSF-O)2023
]]</f>
        <v>216576.6799999997</v>
      </c>
      <c r="O16" s="26">
        <f>Tabela13[[#This Row],[RSF 2024
]]/Tabela13[[#This Row],[(ISF-O + PSF-O)2024 po ZZrID 25/1]]</f>
        <v>6.0782940031508317E-2</v>
      </c>
      <c r="P16" s="27">
        <f>Tabela13[[#This Row],[(ISF-O + PSF-O)2024 po ZZrID 25/1]]/Tabela13[[#This Row],[(ISF-O + PSF-O)2023
]]</f>
        <v>1.0518794170899364</v>
      </c>
      <c r="Q16" s="27">
        <f>IF(Tabela13[[#This Row],[MATIČNA RO vsaj enemu RPROG]]="DA",Tabela13[[#This Row],[Izravnava nesorazmerij 2024 po ZZrID 103/9]]/Tabela13[[#This Row],[Izravnava nesorazmerij total (sklep 15.7.2022)]],"-")</f>
        <v>0.11937904005627191</v>
      </c>
      <c r="R16" s="9">
        <f>Tabela13[[#This Row],[Stabilno financiranje 2024]]-Tabela13[[#This Row],[Stabilno financiranje 2023
=G+I]]</f>
        <v>216585.5</v>
      </c>
    </row>
    <row r="17" spans="1:18" x14ac:dyDescent="0.4">
      <c r="A17" s="4">
        <v>404</v>
      </c>
      <c r="B17" s="4" t="s">
        <v>17</v>
      </c>
      <c r="C17" s="8">
        <v>641691.06999999983</v>
      </c>
      <c r="D17" s="5" t="s">
        <v>58</v>
      </c>
      <c r="E17" s="8">
        <v>1548263</v>
      </c>
      <c r="F17" s="14">
        <v>1928601.52</v>
      </c>
      <c r="G17" s="14">
        <v>115893.66</v>
      </c>
      <c r="H17" s="14">
        <f>ROUND(Tabela13[[#This Row],[RSF 2023
]]*$G$46/Tabela13[[#Totals],[RSF 2023
]],2)+Tabela13[[#This Row],[RSF 2023
]]</f>
        <v>115897.87000000001</v>
      </c>
      <c r="I17" s="14">
        <v>1812707.86</v>
      </c>
      <c r="J17" s="14">
        <f>ROUND(I17*'2024-PREGLED'!$E$11/'2024-PREGLED'!$E$10,2)</f>
        <v>1906750.09</v>
      </c>
      <c r="K17" s="14">
        <f>ROUND(Tabela13[[#This Row],[Izravnava nesorazmerij total (sklep 15.7.2022)]]*'2024-PREGLED'!$E$18/'2024-PREGLED'!$E$21,2)</f>
        <v>76604.479999999996</v>
      </c>
      <c r="L17" s="14">
        <f>Tabela13[[#This Row],[(ISF-O + PSF-O)2024 po ZZrID 25/1]]+Tabela13[[#This Row],[Izravnava nesorazmerij 2024 po ZZrID 103/9]]</f>
        <v>1983354.57</v>
      </c>
      <c r="M17" s="14">
        <f>Tabela13[[#This Row],[(ISF-O + PSF-O)2024
]]+Tabela13[[#This Row],[RSF 2024
]]</f>
        <v>2099252.44</v>
      </c>
      <c r="N17" s="14">
        <f>Tabela13[[#This Row],[(ISF-O + PSF-O)2024
]]-Tabela13[[#This Row],[(ISF-O + PSF-O)2023
]]</f>
        <v>170646.70999999996</v>
      </c>
      <c r="O17" s="26">
        <f>Tabela13[[#This Row],[RSF 2024
]]/Tabela13[[#This Row],[(ISF-O + PSF-O)2024 po ZZrID 25/1]]</f>
        <v>6.078293668783831E-2</v>
      </c>
      <c r="P17" s="27">
        <f>Tabela13[[#This Row],[(ISF-O + PSF-O)2024 po ZZrID 25/1]]/Tabela13[[#This Row],[(ISF-O + PSF-O)2023
]]</f>
        <v>1.0518794186725708</v>
      </c>
      <c r="Q17" s="27">
        <f>IF(Tabela13[[#This Row],[MATIČNA RO vsaj enemu RPROG]]="DA",Tabela13[[#This Row],[Izravnava nesorazmerij 2024 po ZZrID 103/9]]/Tabela13[[#This Row],[Izravnava nesorazmerij total (sklep 15.7.2022)]],"-")</f>
        <v>0.11937906506942665</v>
      </c>
      <c r="R17" s="9">
        <f>Tabela13[[#This Row],[Stabilno financiranje 2024]]-Tabela13[[#This Row],[Stabilno financiranje 2023
=G+I]]</f>
        <v>170650.91999999993</v>
      </c>
    </row>
    <row r="18" spans="1:18" x14ac:dyDescent="0.4">
      <c r="A18" s="4">
        <v>416</v>
      </c>
      <c r="B18" s="4" t="s">
        <v>18</v>
      </c>
      <c r="C18" s="8">
        <v>0</v>
      </c>
      <c r="D18" s="5" t="s">
        <v>59</v>
      </c>
      <c r="E18" s="8">
        <v>268949.83</v>
      </c>
      <c r="F18" s="14">
        <v>312638.92</v>
      </c>
      <c r="G18" s="14">
        <v>18787.12</v>
      </c>
      <c r="H18" s="14">
        <f>ROUND(Tabela13[[#This Row],[RSF 2023
]]*$G$46/Tabela13[[#Totals],[RSF 2023
]],2)+Tabela13[[#This Row],[RSF 2023
]]</f>
        <v>18787.8</v>
      </c>
      <c r="I18" s="14">
        <v>293851.8</v>
      </c>
      <c r="J18" s="14">
        <f>ROUND(I18*'2024-PREGLED'!$E$11/'2024-PREGLED'!$E$10,2)</f>
        <v>309096.65999999997</v>
      </c>
      <c r="K18" s="14">
        <f>ROUND(Tabela13[[#This Row],[Izravnava nesorazmerij total (sklep 15.7.2022)]]*'2024-PREGLED'!$E$18/'2024-PREGLED'!$E$21,2)</f>
        <v>0</v>
      </c>
      <c r="L18" s="14">
        <f>Tabela13[[#This Row],[(ISF-O + PSF-O)2024 po ZZrID 25/1]]+Tabela13[[#This Row],[Izravnava nesorazmerij 2024 po ZZrID 103/9]]</f>
        <v>309096.65999999997</v>
      </c>
      <c r="M18" s="14">
        <f>Tabela13[[#This Row],[(ISF-O + PSF-O)2024
]]+Tabela13[[#This Row],[RSF 2024
]]</f>
        <v>327884.45999999996</v>
      </c>
      <c r="N18" s="14">
        <f>Tabela13[[#This Row],[(ISF-O + PSF-O)2024
]]-Tabela13[[#This Row],[(ISF-O + PSF-O)2023
]]</f>
        <v>15244.859999999986</v>
      </c>
      <c r="O18" s="26">
        <f>Tabela13[[#This Row],[RSF 2024
]]/Tabela13[[#This Row],[(ISF-O + PSF-O)2024 po ZZrID 25/1]]</f>
        <v>6.0782927903523777E-2</v>
      </c>
      <c r="P18" s="27">
        <f>Tabela13[[#This Row],[(ISF-O + PSF-O)2024 po ZZrID 25/1]]/Tabela13[[#This Row],[(ISF-O + PSF-O)2023
]]</f>
        <v>1.0518794167672276</v>
      </c>
      <c r="Q18" s="27" t="str">
        <f>IF(Tabela13[[#This Row],[MATIČNA RO vsaj enemu RPROG]]="DA",Tabela13[[#This Row],[Izravnava nesorazmerij 2024 po ZZrID 103/9]]/Tabela13[[#This Row],[Izravnava nesorazmerij total (sklep 15.7.2022)]],"-")</f>
        <v>-</v>
      </c>
      <c r="R18" s="9">
        <f>Tabela13[[#This Row],[Stabilno financiranje 2024]]-Tabela13[[#This Row],[Stabilno financiranje 2023
=G+I]]</f>
        <v>15245.539999999979</v>
      </c>
    </row>
    <row r="19" spans="1:18" x14ac:dyDescent="0.4">
      <c r="A19" s="4">
        <v>433</v>
      </c>
      <c r="B19" s="4" t="s">
        <v>19</v>
      </c>
      <c r="C19" s="8">
        <v>66943.170000000013</v>
      </c>
      <c r="D19" s="5" t="s">
        <v>58</v>
      </c>
      <c r="E19" s="8">
        <v>153834.04999999999</v>
      </c>
      <c r="F19" s="14">
        <v>192263.66999999998</v>
      </c>
      <c r="G19" s="14">
        <v>11553.52</v>
      </c>
      <c r="H19" s="14">
        <f>ROUND(Tabela13[[#This Row],[RSF 2023
]]*$G$46/Tabela13[[#Totals],[RSF 2023
]],2)+Tabela13[[#This Row],[RSF 2023
]]</f>
        <v>11553.94</v>
      </c>
      <c r="I19" s="14">
        <v>180710.15</v>
      </c>
      <c r="J19" s="14">
        <f>ROUND(I19*'2024-PREGLED'!$E$11/'2024-PREGLED'!$E$10,2)</f>
        <v>190085.29</v>
      </c>
      <c r="K19" s="14">
        <f>ROUND(Tabela13[[#This Row],[Izravnava nesorazmerij total (sklep 15.7.2022)]]*'2024-PREGLED'!$E$18/'2024-PREGLED'!$E$21,2)</f>
        <v>7991.61</v>
      </c>
      <c r="L19" s="14">
        <f>Tabela13[[#This Row],[(ISF-O + PSF-O)2024 po ZZrID 25/1]]+Tabela13[[#This Row],[Izravnava nesorazmerij 2024 po ZZrID 103/9]]</f>
        <v>198076.9</v>
      </c>
      <c r="M19" s="14">
        <f>Tabela13[[#This Row],[(ISF-O + PSF-O)2024
]]+Tabela13[[#This Row],[RSF 2024
]]</f>
        <v>209630.84</v>
      </c>
      <c r="N19" s="14">
        <f>Tabela13[[#This Row],[(ISF-O + PSF-O)2024
]]-Tabela13[[#This Row],[(ISF-O + PSF-O)2023
]]</f>
        <v>17366.75</v>
      </c>
      <c r="O19" s="26">
        <f>Tabela13[[#This Row],[RSF 2024
]]/Tabela13[[#This Row],[(ISF-O + PSF-O)2024 po ZZrID 25/1]]</f>
        <v>6.0782925391017893E-2</v>
      </c>
      <c r="P19" s="27">
        <f>Tabela13[[#This Row],[(ISF-O + PSF-O)2024 po ZZrID 25/1]]/Tabela13[[#This Row],[(ISF-O + PSF-O)2023
]]</f>
        <v>1.0518794323395781</v>
      </c>
      <c r="Q19" s="27">
        <f>IF(Tabela13[[#This Row],[MATIČNA RO vsaj enemu RPROG]]="DA",Tabela13[[#This Row],[Izravnava nesorazmerij 2024 po ZZrID 103/9]]/Tabela13[[#This Row],[Izravnava nesorazmerij total (sklep 15.7.2022)]],"-")</f>
        <v>0.11937901954747585</v>
      </c>
      <c r="R19" s="9">
        <f>Tabela13[[#This Row],[Stabilno financiranje 2024]]-Tabela13[[#This Row],[Stabilno financiranje 2023
=G+I]]</f>
        <v>17367.170000000013</v>
      </c>
    </row>
    <row r="20" spans="1:18" x14ac:dyDescent="0.4">
      <c r="A20" s="4">
        <v>501</v>
      </c>
      <c r="B20" s="4" t="s">
        <v>20</v>
      </c>
      <c r="C20" s="8">
        <v>141881.33000000007</v>
      </c>
      <c r="D20" s="5" t="s">
        <v>58</v>
      </c>
      <c r="E20" s="8">
        <v>1498043.74</v>
      </c>
      <c r="F20" s="14">
        <v>1769876.6500000001</v>
      </c>
      <c r="G20" s="14">
        <v>106355.55</v>
      </c>
      <c r="H20" s="14">
        <f>ROUND(Tabela13[[#This Row],[RSF 2023
]]*$G$46/Tabela13[[#Totals],[RSF 2023
]],2)+Tabela13[[#This Row],[RSF 2023
]]</f>
        <v>106359.42</v>
      </c>
      <c r="I20" s="14">
        <v>1663521.1</v>
      </c>
      <c r="J20" s="14">
        <f>ROUND(I20*'2024-PREGLED'!$E$11/'2024-PREGLED'!$E$10,2)</f>
        <v>1749823.6</v>
      </c>
      <c r="K20" s="14">
        <f>ROUND(Tabela13[[#This Row],[Izravnava nesorazmerij total (sklep 15.7.2022)]]*'2024-PREGLED'!$E$18/'2024-PREGLED'!$E$21,2)</f>
        <v>16937.66</v>
      </c>
      <c r="L20" s="14">
        <f>Tabela13[[#This Row],[(ISF-O + PSF-O)2024 po ZZrID 25/1]]+Tabela13[[#This Row],[Izravnava nesorazmerij 2024 po ZZrID 103/9]]</f>
        <v>1766761.26</v>
      </c>
      <c r="M20" s="14">
        <f>Tabela13[[#This Row],[(ISF-O + PSF-O)2024
]]+Tabela13[[#This Row],[RSF 2024
]]</f>
        <v>1873120.68</v>
      </c>
      <c r="N20" s="14">
        <f>Tabela13[[#This Row],[(ISF-O + PSF-O)2024
]]-Tabela13[[#This Row],[(ISF-O + PSF-O)2023
]]</f>
        <v>103240.15999999992</v>
      </c>
      <c r="O20" s="26">
        <f>Tabela13[[#This Row],[RSF 2024
]]/Tabela13[[#This Row],[(ISF-O + PSF-O)2024 po ZZrID 25/1]]</f>
        <v>6.0782938348756976E-2</v>
      </c>
      <c r="P20" s="27">
        <f>Tabela13[[#This Row],[(ISF-O + PSF-O)2024 po ZZrID 25/1]]/Tabela13[[#This Row],[(ISF-O + PSF-O)2023
]]</f>
        <v>1.0518794140933949</v>
      </c>
      <c r="Q20" s="27">
        <f>IF(Tabela13[[#This Row],[MATIČNA RO vsaj enemu RPROG]]="DA",Tabela13[[#This Row],[Izravnava nesorazmerij 2024 po ZZrID 103/9]]/Tabela13[[#This Row],[Izravnava nesorazmerij total (sklep 15.7.2022)]],"-")</f>
        <v>0.11937906136064548</v>
      </c>
      <c r="R20" s="9">
        <f>Tabela13[[#This Row],[Stabilno financiranje 2024]]-Tabela13[[#This Row],[Stabilno financiranje 2023
=G+I]]</f>
        <v>103244.0299999998</v>
      </c>
    </row>
    <row r="21" spans="1:18" x14ac:dyDescent="0.4">
      <c r="A21" s="4">
        <v>502</v>
      </c>
      <c r="B21" s="4" t="s">
        <v>21</v>
      </c>
      <c r="C21" s="8">
        <v>39950.410000000033</v>
      </c>
      <c r="D21" s="5" t="s">
        <v>58</v>
      </c>
      <c r="E21" s="8">
        <v>818762.66999999993</v>
      </c>
      <c r="F21" s="14">
        <v>959786.06</v>
      </c>
      <c r="G21" s="14">
        <v>57675.53</v>
      </c>
      <c r="H21" s="14">
        <f>ROUND(Tabela13[[#This Row],[RSF 2023
]]*$G$46/Tabela13[[#Totals],[RSF 2023
]],2)+Tabela13[[#This Row],[RSF 2023
]]</f>
        <v>57677.63</v>
      </c>
      <c r="I21" s="14">
        <v>902110.53</v>
      </c>
      <c r="J21" s="14">
        <f>ROUND(I21*'2024-PREGLED'!$E$11/'2024-PREGLED'!$E$10,2)</f>
        <v>948911.5</v>
      </c>
      <c r="K21" s="14">
        <f>ROUND(Tabela13[[#This Row],[Izravnava nesorazmerij total (sklep 15.7.2022)]]*'2024-PREGLED'!$E$18/'2024-PREGLED'!$E$21,2)</f>
        <v>4769.24</v>
      </c>
      <c r="L21" s="14">
        <f>Tabela13[[#This Row],[(ISF-O + PSF-O)2024 po ZZrID 25/1]]+Tabela13[[#This Row],[Izravnava nesorazmerij 2024 po ZZrID 103/9]]</f>
        <v>953680.74</v>
      </c>
      <c r="M21" s="14">
        <f>Tabela13[[#This Row],[(ISF-O + PSF-O)2024
]]+Tabela13[[#This Row],[RSF 2024
]]</f>
        <v>1011358.37</v>
      </c>
      <c r="N21" s="14">
        <f>Tabela13[[#This Row],[(ISF-O + PSF-O)2024
]]-Tabela13[[#This Row],[(ISF-O + PSF-O)2023
]]</f>
        <v>51570.209999999963</v>
      </c>
      <c r="O21" s="26">
        <f>Tabela13[[#This Row],[RSF 2024
]]/Tabela13[[#This Row],[(ISF-O + PSF-O)2024 po ZZrID 25/1]]</f>
        <v>6.0782939188744153E-2</v>
      </c>
      <c r="P21" s="27">
        <f>Tabela13[[#This Row],[(ISF-O + PSF-O)2024 po ZZrID 25/1]]/Tabela13[[#This Row],[(ISF-O + PSF-O)2023
]]</f>
        <v>1.0518794188113512</v>
      </c>
      <c r="Q21" s="27">
        <f>IF(Tabela13[[#This Row],[MATIČNA RO vsaj enemu RPROG]]="DA",Tabela13[[#This Row],[Izravnava nesorazmerij 2024 po ZZrID 103/9]]/Tabela13[[#This Row],[Izravnava nesorazmerij total (sklep 15.7.2022)]],"-")</f>
        <v>0.11937900011539296</v>
      </c>
      <c r="R21" s="9">
        <f>Tabela13[[#This Row],[Stabilno financiranje 2024]]-Tabela13[[#This Row],[Stabilno financiranje 2023
=G+I]]</f>
        <v>51572.309999999939</v>
      </c>
    </row>
    <row r="22" spans="1:18" x14ac:dyDescent="0.4">
      <c r="A22" s="4">
        <v>504</v>
      </c>
      <c r="B22" s="4" t="s">
        <v>22</v>
      </c>
      <c r="C22" s="8">
        <v>216285.15000000002</v>
      </c>
      <c r="D22" s="5" t="s">
        <v>58</v>
      </c>
      <c r="E22" s="8">
        <v>815003.57000000007</v>
      </c>
      <c r="F22" s="14">
        <v>990819.41999999993</v>
      </c>
      <c r="G22" s="14">
        <v>59540.39</v>
      </c>
      <c r="H22" s="14">
        <f>ROUND(Tabela13[[#This Row],[RSF 2023
]]*$G$46/Tabela13[[#Totals],[RSF 2023
]],2)+Tabela13[[#This Row],[RSF 2023
]]</f>
        <v>59542.559999999998</v>
      </c>
      <c r="I22" s="14">
        <v>931279.02999999991</v>
      </c>
      <c r="J22" s="14">
        <f>ROUND(I22*'2024-PREGLED'!$E$11/'2024-PREGLED'!$E$10,2)</f>
        <v>979593.24</v>
      </c>
      <c r="K22" s="14">
        <f>ROUND(Tabela13[[#This Row],[Izravnava nesorazmerij total (sklep 15.7.2022)]]*'2024-PREGLED'!$E$18/'2024-PREGLED'!$E$21,2)</f>
        <v>25819.919999999998</v>
      </c>
      <c r="L22" s="14">
        <f>Tabela13[[#This Row],[(ISF-O + PSF-O)2024 po ZZrID 25/1]]+Tabela13[[#This Row],[Izravnava nesorazmerij 2024 po ZZrID 103/9]]</f>
        <v>1005413.16</v>
      </c>
      <c r="M22" s="14">
        <f>Tabela13[[#This Row],[(ISF-O + PSF-O)2024
]]+Tabela13[[#This Row],[RSF 2024
]]</f>
        <v>1064955.72</v>
      </c>
      <c r="N22" s="14">
        <f>Tabela13[[#This Row],[(ISF-O + PSF-O)2024
]]-Tabela13[[#This Row],[(ISF-O + PSF-O)2023
]]</f>
        <v>74134.130000000121</v>
      </c>
      <c r="O22" s="26">
        <f>Tabela13[[#This Row],[RSF 2024
]]/Tabela13[[#This Row],[(ISF-O + PSF-O)2024 po ZZrID 25/1]]</f>
        <v>6.0782942928434253E-2</v>
      </c>
      <c r="P22" s="27">
        <f>Tabela13[[#This Row],[(ISF-O + PSF-O)2024 po ZZrID 25/1]]/Tabela13[[#This Row],[(ISF-O + PSF-O)2023
]]</f>
        <v>1.051879413627514</v>
      </c>
      <c r="Q22" s="27">
        <f>IF(Tabela13[[#This Row],[MATIČNA RO vsaj enemu RPROG]]="DA",Tabela13[[#This Row],[Izravnava nesorazmerij 2024 po ZZrID 103/9]]/Tabela13[[#This Row],[Izravnava nesorazmerij total (sklep 15.7.2022)]],"-")</f>
        <v>0.11937906971421752</v>
      </c>
      <c r="R22" s="9">
        <f>Tabela13[[#This Row],[Stabilno financiranje 2024]]-Tabela13[[#This Row],[Stabilno financiranje 2023
=G+I]]</f>
        <v>74136.300000000047</v>
      </c>
    </row>
    <row r="23" spans="1:18" x14ac:dyDescent="0.4">
      <c r="A23" s="4">
        <v>505</v>
      </c>
      <c r="B23" s="4" t="s">
        <v>23</v>
      </c>
      <c r="C23" s="8">
        <v>142368.49</v>
      </c>
      <c r="D23" s="5" t="s">
        <v>58</v>
      </c>
      <c r="E23" s="8">
        <v>1020718.1900000001</v>
      </c>
      <c r="F23" s="14">
        <v>1215110.5900000001</v>
      </c>
      <c r="G23" s="14">
        <v>73018.509999999995</v>
      </c>
      <c r="H23" s="14">
        <f>ROUND(Tabela13[[#This Row],[RSF 2023
]]*$G$46/Tabela13[[#Totals],[RSF 2023
]],2)+Tabela13[[#This Row],[RSF 2023
]]</f>
        <v>73021.17</v>
      </c>
      <c r="I23" s="14">
        <v>1142092.08</v>
      </c>
      <c r="J23" s="14">
        <f>ROUND(I23*'2024-PREGLED'!$E$11/'2024-PREGLED'!$E$10,2)</f>
        <v>1201343.1499999999</v>
      </c>
      <c r="K23" s="14">
        <f>ROUND(Tabela13[[#This Row],[Izravnava nesorazmerij total (sklep 15.7.2022)]]*'2024-PREGLED'!$E$18/'2024-PREGLED'!$E$21,2)</f>
        <v>16995.82</v>
      </c>
      <c r="L23" s="14">
        <f>Tabela13[[#This Row],[(ISF-O + PSF-O)2024 po ZZrID 25/1]]+Tabela13[[#This Row],[Izravnava nesorazmerij 2024 po ZZrID 103/9]]</f>
        <v>1218338.97</v>
      </c>
      <c r="M23" s="14">
        <f>Tabela13[[#This Row],[(ISF-O + PSF-O)2024
]]+Tabela13[[#This Row],[RSF 2024
]]</f>
        <v>1291360.1399999999</v>
      </c>
      <c r="N23" s="14">
        <f>Tabela13[[#This Row],[(ISF-O + PSF-O)2024
]]-Tabela13[[#This Row],[(ISF-O + PSF-O)2023
]]</f>
        <v>76246.889999999898</v>
      </c>
      <c r="O23" s="26">
        <f>Tabela13[[#This Row],[RSF 2024
]]/Tabela13[[#This Row],[(ISF-O + PSF-O)2024 po ZZrID 25/1]]</f>
        <v>6.0782941160483585E-2</v>
      </c>
      <c r="P23" s="27">
        <f>Tabela13[[#This Row],[(ISF-O + PSF-O)2024 po ZZrID 25/1]]/Tabela13[[#This Row],[(ISF-O + PSF-O)2023
]]</f>
        <v>1.0518794158873774</v>
      </c>
      <c r="Q23" s="27">
        <f>IF(Tabela13[[#This Row],[MATIČNA RO vsaj enemu RPROG]]="DA",Tabela13[[#This Row],[Izravnava nesorazmerij 2024 po ZZrID 103/9]]/Tabela13[[#This Row],[Izravnava nesorazmerij total (sklep 15.7.2022)]],"-")</f>
        <v>0.11937908451511989</v>
      </c>
      <c r="R23" s="9">
        <f>Tabela13[[#This Row],[Stabilno financiranje 2024]]-Tabela13[[#This Row],[Stabilno financiranje 2023
=G+I]]</f>
        <v>76249.549999999814</v>
      </c>
    </row>
    <row r="24" spans="1:18" x14ac:dyDescent="0.4">
      <c r="A24" s="4">
        <v>507</v>
      </c>
      <c r="B24" s="4" t="s">
        <v>24</v>
      </c>
      <c r="C24" s="8">
        <v>98668.020000000135</v>
      </c>
      <c r="D24" s="5" t="s">
        <v>58</v>
      </c>
      <c r="E24" s="8">
        <v>937494.07999999984</v>
      </c>
      <c r="F24" s="14">
        <v>1109593.45</v>
      </c>
      <c r="G24" s="14">
        <v>66677.77</v>
      </c>
      <c r="H24" s="14">
        <f>ROUND(Tabela13[[#This Row],[RSF 2023
]]*$G$46/Tabela13[[#Totals],[RSF 2023
]],2)+Tabela13[[#This Row],[RSF 2023
]]</f>
        <v>66680.19</v>
      </c>
      <c r="I24" s="14">
        <v>1042915.68</v>
      </c>
      <c r="J24" s="14">
        <f>ROUND(I24*'2024-PREGLED'!$E$11/'2024-PREGLED'!$E$10,2)</f>
        <v>1097021.54</v>
      </c>
      <c r="K24" s="14">
        <f>ROUND(Tabela13[[#This Row],[Izravnava nesorazmerij total (sklep 15.7.2022)]]*'2024-PREGLED'!$E$18/'2024-PREGLED'!$E$21,2)</f>
        <v>11778.9</v>
      </c>
      <c r="L24" s="14">
        <f>Tabela13[[#This Row],[(ISF-O + PSF-O)2024 po ZZrID 25/1]]+Tabela13[[#This Row],[Izravnava nesorazmerij 2024 po ZZrID 103/9]]</f>
        <v>1108800.44</v>
      </c>
      <c r="M24" s="14">
        <f>Tabela13[[#This Row],[(ISF-O + PSF-O)2024
]]+Tabela13[[#This Row],[RSF 2024
]]</f>
        <v>1175480.6299999999</v>
      </c>
      <c r="N24" s="14">
        <f>Tabela13[[#This Row],[(ISF-O + PSF-O)2024
]]-Tabela13[[#This Row],[(ISF-O + PSF-O)2023
]]</f>
        <v>65884.759999999893</v>
      </c>
      <c r="O24" s="26">
        <f>Tabela13[[#This Row],[RSF 2024
]]/Tabela13[[#This Row],[(ISF-O + PSF-O)2024 po ZZrID 25/1]]</f>
        <v>6.078293594855029E-2</v>
      </c>
      <c r="P24" s="27">
        <f>Tabela13[[#This Row],[(ISF-O + PSF-O)2024 po ZZrID 25/1]]/Tabela13[[#This Row],[(ISF-O + PSF-O)2023
]]</f>
        <v>1.0518794194368619</v>
      </c>
      <c r="Q24" s="27">
        <f>IF(Tabela13[[#This Row],[MATIČNA RO vsaj enemu RPROG]]="DA",Tabela13[[#This Row],[Izravnava nesorazmerij 2024 po ZZrID 103/9]]/Tabela13[[#This Row],[Izravnava nesorazmerij total (sklep 15.7.2022)]],"-")</f>
        <v>0.11937910581361603</v>
      </c>
      <c r="R24" s="9">
        <f>Tabela13[[#This Row],[Stabilno financiranje 2024]]-Tabela13[[#This Row],[Stabilno financiranje 2023
=G+I]]</f>
        <v>65887.179999999935</v>
      </c>
    </row>
    <row r="25" spans="1:18" x14ac:dyDescent="0.4">
      <c r="A25" s="4">
        <v>510</v>
      </c>
      <c r="B25" s="4" t="s">
        <v>25</v>
      </c>
      <c r="C25" s="8">
        <v>9514146.25</v>
      </c>
      <c r="D25" s="5" t="s">
        <v>58</v>
      </c>
      <c r="E25" s="8">
        <v>58481590.50000003</v>
      </c>
      <c r="F25" s="14">
        <v>69891705.140000001</v>
      </c>
      <c r="G25" s="14">
        <v>4199937.34</v>
      </c>
      <c r="H25" s="14">
        <f>ROUND(Tabela13[[#This Row],[RSF 2023
]]*$G$46/Tabela13[[#Totals],[RSF 2023
]],2)+Tabela13[[#This Row],[RSF 2023
]]</f>
        <v>4200090.09</v>
      </c>
      <c r="I25" s="14">
        <v>65691767.799999997</v>
      </c>
      <c r="J25" s="38">
        <f>ROUND(I25*'2024-PREGLED'!$E$11/'2024-PREGLED'!$E$10,2)+0.01</f>
        <v>69099818.400000006</v>
      </c>
      <c r="K25" s="38">
        <f>ROUND(Tabela13[[#This Row],[Izravnava nesorazmerij total (sklep 15.7.2022)]]*'2024-PREGLED'!$E$18/'2024-PREGLED'!$E$21,2)+0.03</f>
        <v>1135789.9099999999</v>
      </c>
      <c r="L25" s="14">
        <f>Tabela13[[#This Row],[(ISF-O + PSF-O)2024 po ZZrID 25/1]]+Tabela13[[#This Row],[Izravnava nesorazmerij 2024 po ZZrID 103/9]]</f>
        <v>70235608.310000002</v>
      </c>
      <c r="M25" s="14">
        <f>Tabela13[[#This Row],[(ISF-O + PSF-O)2024
]]+Tabela13[[#This Row],[RSF 2024
]]</f>
        <v>74435698.400000006</v>
      </c>
      <c r="N25" s="14">
        <f>Tabela13[[#This Row],[(ISF-O + PSF-O)2024
]]-Tabela13[[#This Row],[(ISF-O + PSF-O)2023
]]</f>
        <v>4543840.5100000054</v>
      </c>
      <c r="O25" s="26">
        <f>Tabela13[[#This Row],[RSF 2024
]]/Tabela13[[#This Row],[(ISF-O + PSF-O)2024 po ZZrID 25/1]]</f>
        <v>6.0782939626365204E-2</v>
      </c>
      <c r="P25" s="27">
        <f>Tabela13[[#This Row],[(ISF-O + PSF-O)2024 po ZZrID 25/1]]/Tabela13[[#This Row],[(ISF-O + PSF-O)2023
]]</f>
        <v>1.0518794167691741</v>
      </c>
      <c r="Q25" s="27">
        <f>IF(Tabela13[[#This Row],[MATIČNA RO vsaj enemu RPROG]]="DA",Tabela13[[#This Row],[Izravnava nesorazmerij 2024 po ZZrID 103/9]]/Tabela13[[#This Row],[Izravnava nesorazmerij total (sklep 15.7.2022)]],"-")</f>
        <v>0.11937906777499872</v>
      </c>
      <c r="R25" s="9">
        <f>Tabela13[[#This Row],[Stabilno financiranje 2024]]-Tabela13[[#This Row],[Stabilno financiranje 2023
=G+I]]</f>
        <v>4543993.2600000054</v>
      </c>
    </row>
    <row r="26" spans="1:18" x14ac:dyDescent="0.4">
      <c r="A26" s="4">
        <v>552</v>
      </c>
      <c r="B26" s="4" t="s">
        <v>26</v>
      </c>
      <c r="C26" s="8">
        <v>389334.20000000112</v>
      </c>
      <c r="D26" s="5" t="s">
        <v>58</v>
      </c>
      <c r="E26" s="8">
        <v>11821237.110000003</v>
      </c>
      <c r="F26" s="14">
        <v>13819684.77</v>
      </c>
      <c r="G26" s="14">
        <v>830453.48</v>
      </c>
      <c r="H26" s="14">
        <f>ROUND(Tabela13[[#This Row],[RSF 2023
]]*$G$46/Tabela13[[#Totals],[RSF 2023
]],2)+Tabela13[[#This Row],[RSF 2023
]]</f>
        <v>830483.67999999993</v>
      </c>
      <c r="I26" s="14">
        <v>12989231.289999999</v>
      </c>
      <c r="J26" s="14">
        <f>ROUND(I26*'2024-PREGLED'!$E$11/'2024-PREGLED'!$E$10,2)</f>
        <v>13663105.029999999</v>
      </c>
      <c r="K26" s="14">
        <f>ROUND(Tabela13[[#This Row],[Izravnava nesorazmerij total (sklep 15.7.2022)]]*'2024-PREGLED'!$E$18/'2024-PREGLED'!$E$21,2)</f>
        <v>46478.35</v>
      </c>
      <c r="L26" s="14">
        <f>Tabela13[[#This Row],[(ISF-O + PSF-O)2024 po ZZrID 25/1]]+Tabela13[[#This Row],[Izravnava nesorazmerij 2024 po ZZrID 103/9]]</f>
        <v>13709583.379999999</v>
      </c>
      <c r="M26" s="14">
        <f>Tabela13[[#This Row],[(ISF-O + PSF-O)2024
]]+Tabela13[[#This Row],[RSF 2024
]]</f>
        <v>14540067.059999999</v>
      </c>
      <c r="N26" s="14">
        <f>Tabela13[[#This Row],[(ISF-O + PSF-O)2024
]]-Tabela13[[#This Row],[(ISF-O + PSF-O)2023
]]</f>
        <v>720352.08999999985</v>
      </c>
      <c r="O26" s="26">
        <f>Tabela13[[#This Row],[RSF 2024
]]/Tabela13[[#This Row],[(ISF-O + PSF-O)2024 po ZZrID 25/1]]</f>
        <v>6.0782939030074923E-2</v>
      </c>
      <c r="P26" s="27">
        <f>Tabela13[[#This Row],[(ISF-O + PSF-O)2024 po ZZrID 25/1]]/Tabela13[[#This Row],[(ISF-O + PSF-O)2023
]]</f>
        <v>1.0518794164916283</v>
      </c>
      <c r="Q26" s="27">
        <f>IF(Tabela13[[#This Row],[MATIČNA RO vsaj enemu RPROG]]="DA",Tabela13[[#This Row],[Izravnava nesorazmerij 2024 po ZZrID 103/9]]/Tabela13[[#This Row],[Izravnava nesorazmerij total (sklep 15.7.2022)]],"-")</f>
        <v>0.11937905788908312</v>
      </c>
      <c r="R26" s="9">
        <f>Tabela13[[#This Row],[Stabilno financiranje 2024]]-Tabela13[[#This Row],[Stabilno financiranje 2023
=G+I]]</f>
        <v>720382.28999999911</v>
      </c>
    </row>
    <row r="27" spans="1:18" x14ac:dyDescent="0.4">
      <c r="A27" s="4">
        <v>553</v>
      </c>
      <c r="B27" s="4" t="s">
        <v>27</v>
      </c>
      <c r="C27" s="8">
        <v>82853.540000000037</v>
      </c>
      <c r="D27" s="5" t="s">
        <v>58</v>
      </c>
      <c r="E27" s="8">
        <v>1031940.08</v>
      </c>
      <c r="F27" s="14">
        <v>1216206.46</v>
      </c>
      <c r="G27" s="14">
        <v>73084.37</v>
      </c>
      <c r="H27" s="14">
        <f>ROUND(Tabela13[[#This Row],[RSF 2023
]]*$G$46/Tabela13[[#Totals],[RSF 2023
]],2)+Tabela13[[#This Row],[RSF 2023
]]</f>
        <v>73087.03</v>
      </c>
      <c r="I27" s="14">
        <v>1143122.0900000001</v>
      </c>
      <c r="J27" s="14">
        <f>ROUND(I27*'2024-PREGLED'!$E$11/'2024-PREGLED'!$E$10,2)</f>
        <v>1202426.6000000001</v>
      </c>
      <c r="K27" s="14">
        <f>ROUND(Tabela13[[#This Row],[Izravnava nesorazmerij total (sklep 15.7.2022)]]*'2024-PREGLED'!$E$18/'2024-PREGLED'!$E$21,2)</f>
        <v>9890.98</v>
      </c>
      <c r="L27" s="14">
        <f>Tabela13[[#This Row],[(ISF-O + PSF-O)2024 po ZZrID 25/1]]+Tabela13[[#This Row],[Izravnava nesorazmerij 2024 po ZZrID 103/9]]</f>
        <v>1212317.58</v>
      </c>
      <c r="M27" s="14">
        <f>Tabela13[[#This Row],[(ISF-O + PSF-O)2024
]]+Tabela13[[#This Row],[RSF 2024
]]</f>
        <v>1285404.6100000001</v>
      </c>
      <c r="N27" s="14">
        <f>Tabela13[[#This Row],[(ISF-O + PSF-O)2024
]]-Tabela13[[#This Row],[(ISF-O + PSF-O)2023
]]</f>
        <v>69195.489999999991</v>
      </c>
      <c r="O27" s="26">
        <f>Tabela13[[#This Row],[RSF 2024
]]/Tabela13[[#This Row],[(ISF-O + PSF-O)2024 po ZZrID 25/1]]</f>
        <v>6.0782945087874796E-2</v>
      </c>
      <c r="P27" s="27">
        <f>Tabela13[[#This Row],[(ISF-O + PSF-O)2024 po ZZrID 25/1]]/Tabela13[[#This Row],[(ISF-O + PSF-O)2023
]]</f>
        <v>1.0518794191091172</v>
      </c>
      <c r="Q27" s="27">
        <f>IF(Tabela13[[#This Row],[MATIČNA RO vsaj enemu RPROG]]="DA",Tabela13[[#This Row],[Izravnava nesorazmerij 2024 po ZZrID 103/9]]/Tabela13[[#This Row],[Izravnava nesorazmerij total (sklep 15.7.2022)]],"-")</f>
        <v>0.11937908748376949</v>
      </c>
      <c r="R27" s="9">
        <f>Tabela13[[#This Row],[Stabilno financiranje 2024]]-Tabela13[[#This Row],[Stabilno financiranje 2023
=G+I]]</f>
        <v>69198.15000000014</v>
      </c>
    </row>
    <row r="28" spans="1:18" x14ac:dyDescent="0.4">
      <c r="A28" s="4">
        <v>613</v>
      </c>
      <c r="B28" s="4" t="s">
        <v>28</v>
      </c>
      <c r="C28" s="8">
        <v>21456.48000000004</v>
      </c>
      <c r="D28" s="5" t="s">
        <v>58</v>
      </c>
      <c r="E28" s="8">
        <v>306088.76</v>
      </c>
      <c r="F28" s="14">
        <v>360118.67999999993</v>
      </c>
      <c r="G28" s="14">
        <v>21640.28</v>
      </c>
      <c r="H28" s="14">
        <f>ROUND(Tabela13[[#This Row],[RSF 2023
]]*$G$46/Tabela13[[#Totals],[RSF 2023
]],2)+Tabela13[[#This Row],[RSF 2023
]]</f>
        <v>21641.07</v>
      </c>
      <c r="I28" s="14">
        <v>338478.39999999997</v>
      </c>
      <c r="J28" s="14">
        <f>ROUND(I28*'2024-PREGLED'!$E$11/'2024-PREGLED'!$E$10,2)</f>
        <v>356038.46</v>
      </c>
      <c r="K28" s="14">
        <f>ROUND(Tabela13[[#This Row],[Izravnava nesorazmerij total (sklep 15.7.2022)]]*'2024-PREGLED'!$E$18/'2024-PREGLED'!$E$21,2)</f>
        <v>2561.4499999999998</v>
      </c>
      <c r="L28" s="14">
        <f>Tabela13[[#This Row],[(ISF-O + PSF-O)2024 po ZZrID 25/1]]+Tabela13[[#This Row],[Izravnava nesorazmerij 2024 po ZZrID 103/9]]</f>
        <v>358599.91000000003</v>
      </c>
      <c r="M28" s="14">
        <f>Tabela13[[#This Row],[(ISF-O + PSF-O)2024
]]+Tabela13[[#This Row],[RSF 2024
]]</f>
        <v>380240.98000000004</v>
      </c>
      <c r="N28" s="14">
        <f>Tabela13[[#This Row],[(ISF-O + PSF-O)2024
]]-Tabela13[[#This Row],[(ISF-O + PSF-O)2023
]]</f>
        <v>20121.510000000068</v>
      </c>
      <c r="O28" s="26">
        <f>Tabela13[[#This Row],[RSF 2024
]]/Tabela13[[#This Row],[(ISF-O + PSF-O)2024 po ZZrID 25/1]]</f>
        <v>6.0782955863813139E-2</v>
      </c>
      <c r="P28" s="27">
        <f>Tabela13[[#This Row],[(ISF-O + PSF-O)2024 po ZZrID 25/1]]/Tabela13[[#This Row],[(ISF-O + PSF-O)2023
]]</f>
        <v>1.0518794109166199</v>
      </c>
      <c r="Q28" s="27">
        <f>IF(Tabela13[[#This Row],[MATIČNA RO vsaj enemu RPROG]]="DA",Tabela13[[#This Row],[Izravnava nesorazmerij 2024 po ZZrID 103/9]]/Tabela13[[#This Row],[Izravnava nesorazmerij total (sklep 15.7.2022)]],"-")</f>
        <v>0.11937885431347524</v>
      </c>
      <c r="R28" s="9">
        <f>Tabela13[[#This Row],[Stabilno financiranje 2024]]-Tabela13[[#This Row],[Stabilno financiranje 2023
=G+I]]</f>
        <v>20122.300000000105</v>
      </c>
    </row>
    <row r="29" spans="1:18" x14ac:dyDescent="0.4">
      <c r="A29" s="4">
        <v>614</v>
      </c>
      <c r="B29" s="4" t="s">
        <v>29</v>
      </c>
      <c r="C29" s="8">
        <v>0</v>
      </c>
      <c r="D29" s="5" t="s">
        <v>59</v>
      </c>
      <c r="E29" s="8">
        <v>18645.059999999998</v>
      </c>
      <c r="F29" s="14">
        <v>21673.83</v>
      </c>
      <c r="G29" s="14">
        <v>1302.43</v>
      </c>
      <c r="H29" s="14">
        <f>ROUND(Tabela13[[#This Row],[RSF 2023
]]*$G$46/Tabela13[[#Totals],[RSF 2023
]],2)+Tabela13[[#This Row],[RSF 2023
]]</f>
        <v>1302.48</v>
      </c>
      <c r="I29" s="14">
        <v>20371.400000000001</v>
      </c>
      <c r="J29" s="14">
        <f>ROUND(I29*'2024-PREGLED'!$E$11/'2024-PREGLED'!$E$10,2)</f>
        <v>21428.26</v>
      </c>
      <c r="K29" s="14">
        <f>ROUND(Tabela13[[#This Row],[Izravnava nesorazmerij total (sklep 15.7.2022)]]*'2024-PREGLED'!$E$18/'2024-PREGLED'!$E$21,2)</f>
        <v>0</v>
      </c>
      <c r="L29" s="14">
        <f>Tabela13[[#This Row],[(ISF-O + PSF-O)2024 po ZZrID 25/1]]+Tabela13[[#This Row],[Izravnava nesorazmerij 2024 po ZZrID 103/9]]</f>
        <v>21428.26</v>
      </c>
      <c r="M29" s="14">
        <f>Tabela13[[#This Row],[(ISF-O + PSF-O)2024
]]+Tabela13[[#This Row],[RSF 2024
]]</f>
        <v>22730.739999999998</v>
      </c>
      <c r="N29" s="14">
        <f>Tabela13[[#This Row],[(ISF-O + PSF-O)2024
]]-Tabela13[[#This Row],[(ISF-O + PSF-O)2023
]]</f>
        <v>1056.8599999999969</v>
      </c>
      <c r="O29" s="26">
        <f>Tabela13[[#This Row],[RSF 2024
]]/Tabela13[[#This Row],[(ISF-O + PSF-O)2024 po ZZrID 25/1]]</f>
        <v>6.0783283383718516E-2</v>
      </c>
      <c r="P29" s="27">
        <f>Tabela13[[#This Row],[(ISF-O + PSF-O)2024 po ZZrID 25/1]]/Tabela13[[#This Row],[(ISF-O + PSF-O)2023
]]</f>
        <v>1.0518795959040614</v>
      </c>
      <c r="Q29" s="27" t="str">
        <f>IF(Tabela13[[#This Row],[MATIČNA RO vsaj enemu RPROG]]="DA",Tabela13[[#This Row],[Izravnava nesorazmerij 2024 po ZZrID 103/9]]/Tabela13[[#This Row],[Izravnava nesorazmerij total (sklep 15.7.2022)]],"-")</f>
        <v>-</v>
      </c>
      <c r="R29" s="9">
        <f>Tabela13[[#This Row],[Stabilno financiranje 2024]]-Tabela13[[#This Row],[Stabilno financiranje 2023
=G+I]]</f>
        <v>1056.9099999999962</v>
      </c>
    </row>
    <row r="30" spans="1:18" x14ac:dyDescent="0.4">
      <c r="A30" s="4">
        <v>618</v>
      </c>
      <c r="B30" s="4" t="s">
        <v>30</v>
      </c>
      <c r="C30" s="8">
        <v>3278081.4099999983</v>
      </c>
      <c r="D30" s="5" t="s">
        <v>58</v>
      </c>
      <c r="E30" s="8">
        <v>14281497.42</v>
      </c>
      <c r="F30" s="14">
        <v>17259577.5</v>
      </c>
      <c r="G30" s="14">
        <v>1037163.76</v>
      </c>
      <c r="H30" s="14">
        <f>ROUND(Tabela13[[#This Row],[RSF 2023
]]*$G$46/Tabela13[[#Totals],[RSF 2023
]],2)+Tabela13[[#This Row],[RSF 2023
]]</f>
        <v>1037201.48</v>
      </c>
      <c r="I30" s="14">
        <v>16222413.74</v>
      </c>
      <c r="J30" s="14">
        <f>ROUND(I30*'2024-PREGLED'!$E$11/'2024-PREGLED'!$E$10,2)</f>
        <v>17064023.100000001</v>
      </c>
      <c r="K30" s="14">
        <f>ROUND(Tabela13[[#This Row],[Izravnava nesorazmerij total (sklep 15.7.2022)]]*'2024-PREGLED'!$E$18/'2024-PREGLED'!$E$21,2)</f>
        <v>391334.29</v>
      </c>
      <c r="L30" s="14">
        <f>Tabela13[[#This Row],[(ISF-O + PSF-O)2024 po ZZrID 25/1]]+Tabela13[[#This Row],[Izravnava nesorazmerij 2024 po ZZrID 103/9]]</f>
        <v>17455357.390000001</v>
      </c>
      <c r="M30" s="14">
        <f>Tabela13[[#This Row],[(ISF-O + PSF-O)2024
]]+Tabela13[[#This Row],[RSF 2024
]]</f>
        <v>18492558.870000001</v>
      </c>
      <c r="N30" s="14">
        <f>Tabela13[[#This Row],[(ISF-O + PSF-O)2024
]]-Tabela13[[#This Row],[(ISF-O + PSF-O)2023
]]</f>
        <v>1232943.6500000004</v>
      </c>
      <c r="O30" s="26">
        <f>Tabela13[[#This Row],[RSF 2024
]]/Tabela13[[#This Row],[(ISF-O + PSF-O)2024 po ZZrID 25/1]]</f>
        <v>6.0782939282354807E-2</v>
      </c>
      <c r="P30" s="27">
        <f>Tabela13[[#This Row],[(ISF-O + PSF-O)2024 po ZZrID 25/1]]/Tabela13[[#This Row],[(ISF-O + PSF-O)2023
]]</f>
        <v>1.0518794165583896</v>
      </c>
      <c r="Q30" s="27">
        <f>IF(Tabela13[[#This Row],[MATIČNA RO vsaj enemu RPROG]]="DA",Tabela13[[#This Row],[Izravnava nesorazmerij 2024 po ZZrID 103/9]]/Tabela13[[#This Row],[Izravnava nesorazmerij total (sklep 15.7.2022)]],"-")</f>
        <v>0.11937906386528704</v>
      </c>
      <c r="R30" s="9">
        <f>Tabela13[[#This Row],[Stabilno financiranje 2024]]-Tabela13[[#This Row],[Stabilno financiranje 2023
=G+I]]</f>
        <v>1232981.370000001</v>
      </c>
    </row>
    <row r="31" spans="1:18" x14ac:dyDescent="0.4">
      <c r="A31" s="4">
        <v>622</v>
      </c>
      <c r="B31" s="4" t="s">
        <v>31</v>
      </c>
      <c r="C31" s="8">
        <v>0</v>
      </c>
      <c r="D31" s="5" t="s">
        <v>59</v>
      </c>
      <c r="E31" s="8">
        <v>17287.55</v>
      </c>
      <c r="F31" s="14">
        <v>20095.8</v>
      </c>
      <c r="G31" s="14">
        <v>1207.5999999999999</v>
      </c>
      <c r="H31" s="14">
        <f>ROUND(Tabela13[[#This Row],[RSF 2023
]]*$G$46/Tabela13[[#Totals],[RSF 2023
]],2)+Tabela13[[#This Row],[RSF 2023
]]</f>
        <v>1207.6399999999999</v>
      </c>
      <c r="I31" s="14">
        <v>18888.2</v>
      </c>
      <c r="J31" s="14">
        <f>ROUND(I31*'2024-PREGLED'!$E$11/'2024-PREGLED'!$E$10,2)</f>
        <v>19868.11</v>
      </c>
      <c r="K31" s="14">
        <f>ROUND(Tabela13[[#This Row],[Izravnava nesorazmerij total (sklep 15.7.2022)]]*'2024-PREGLED'!$E$18/'2024-PREGLED'!$E$21,2)</f>
        <v>0</v>
      </c>
      <c r="L31" s="14">
        <f>Tabela13[[#This Row],[(ISF-O + PSF-O)2024 po ZZrID 25/1]]+Tabela13[[#This Row],[Izravnava nesorazmerij 2024 po ZZrID 103/9]]</f>
        <v>19868.11</v>
      </c>
      <c r="M31" s="14">
        <f>Tabela13[[#This Row],[(ISF-O + PSF-O)2024
]]+Tabela13[[#This Row],[RSF 2024
]]</f>
        <v>21075.75</v>
      </c>
      <c r="N31" s="14">
        <f>Tabela13[[#This Row],[(ISF-O + PSF-O)2024
]]-Tabela13[[#This Row],[(ISF-O + PSF-O)2023
]]</f>
        <v>979.90999999999985</v>
      </c>
      <c r="O31" s="26">
        <f>Tabela13[[#This Row],[RSF 2024
]]/Tabela13[[#This Row],[(ISF-O + PSF-O)2024 po ZZrID 25/1]]</f>
        <v>6.0782832388183869E-2</v>
      </c>
      <c r="P31" s="27">
        <f>Tabela13[[#This Row],[(ISF-O + PSF-O)2024 po ZZrID 25/1]]/Tabela13[[#This Row],[(ISF-O + PSF-O)2023
]]</f>
        <v>1.0518794803104583</v>
      </c>
      <c r="Q31" s="27" t="str">
        <f>IF(Tabela13[[#This Row],[MATIČNA RO vsaj enemu RPROG]]="DA",Tabela13[[#This Row],[Izravnava nesorazmerij 2024 po ZZrID 103/9]]/Tabela13[[#This Row],[Izravnava nesorazmerij total (sklep 15.7.2022)]],"-")</f>
        <v>-</v>
      </c>
      <c r="R31" s="9">
        <f>Tabela13[[#This Row],[Stabilno financiranje 2024]]-Tabela13[[#This Row],[Stabilno financiranje 2023
=G+I]]</f>
        <v>979.95000000000073</v>
      </c>
    </row>
    <row r="32" spans="1:18" x14ac:dyDescent="0.4">
      <c r="A32" s="4">
        <v>1421</v>
      </c>
      <c r="B32" s="4" t="s">
        <v>32</v>
      </c>
      <c r="C32" s="8">
        <v>0</v>
      </c>
      <c r="D32" s="5" t="s">
        <v>59</v>
      </c>
      <c r="E32" s="8">
        <v>51094.479999999996</v>
      </c>
      <c r="F32" s="14">
        <v>59394.43</v>
      </c>
      <c r="G32" s="14">
        <v>3569.13</v>
      </c>
      <c r="H32" s="14">
        <f>ROUND(Tabela13[[#This Row],[RSF 2023
]]*$G$46/Tabela13[[#Totals],[RSF 2023
]],2)+Tabela13[[#This Row],[RSF 2023
]]</f>
        <v>3569.26</v>
      </c>
      <c r="I32" s="14">
        <v>55825.3</v>
      </c>
      <c r="J32" s="14">
        <f>ROUND(I32*'2024-PREGLED'!$E$11/'2024-PREGLED'!$E$10,2)</f>
        <v>58721.48</v>
      </c>
      <c r="K32" s="14">
        <f>ROUND(Tabela13[[#This Row],[Izravnava nesorazmerij total (sklep 15.7.2022)]]*'2024-PREGLED'!$E$18/'2024-PREGLED'!$E$21,2)</f>
        <v>0</v>
      </c>
      <c r="L32" s="14">
        <f>Tabela13[[#This Row],[(ISF-O + PSF-O)2024 po ZZrID 25/1]]+Tabela13[[#This Row],[Izravnava nesorazmerij 2024 po ZZrID 103/9]]</f>
        <v>58721.48</v>
      </c>
      <c r="M32" s="14">
        <f>Tabela13[[#This Row],[(ISF-O + PSF-O)2024
]]+Tabela13[[#This Row],[RSF 2024
]]</f>
        <v>62290.740000000005</v>
      </c>
      <c r="N32" s="14">
        <f>Tabela13[[#This Row],[(ISF-O + PSF-O)2024
]]-Tabela13[[#This Row],[(ISF-O + PSF-O)2023
]]</f>
        <v>2896.1800000000003</v>
      </c>
      <c r="O32" s="26">
        <f>Tabela13[[#This Row],[RSF 2024
]]/Tabela13[[#This Row],[(ISF-O + PSF-O)2024 po ZZrID 25/1]]</f>
        <v>6.0782868551678193E-2</v>
      </c>
      <c r="P32" s="27">
        <f>Tabela13[[#This Row],[(ISF-O + PSF-O)2024 po ZZrID 25/1]]/Tabela13[[#This Row],[(ISF-O + PSF-O)2023
]]</f>
        <v>1.0518793450281503</v>
      </c>
      <c r="Q32" s="27" t="str">
        <f>IF(Tabela13[[#This Row],[MATIČNA RO vsaj enemu RPROG]]="DA",Tabela13[[#This Row],[Izravnava nesorazmerij 2024 po ZZrID 103/9]]/Tabela13[[#This Row],[Izravnava nesorazmerij total (sklep 15.7.2022)]],"-")</f>
        <v>-</v>
      </c>
      <c r="R32" s="9">
        <f>Tabela13[[#This Row],[Stabilno financiranje 2024]]-Tabela13[[#This Row],[Stabilno financiranje 2023
=G+I]]</f>
        <v>2896.3100000000049</v>
      </c>
    </row>
    <row r="33" spans="1:18" x14ac:dyDescent="0.4">
      <c r="A33" s="4">
        <v>1500</v>
      </c>
      <c r="B33" s="4" t="s">
        <v>33</v>
      </c>
      <c r="C33" s="8">
        <v>0</v>
      </c>
      <c r="D33" s="5" t="s">
        <v>59</v>
      </c>
      <c r="E33" s="8">
        <v>103339.81999999999</v>
      </c>
      <c r="F33" s="14">
        <v>120126.68000000001</v>
      </c>
      <c r="G33" s="14">
        <v>7218.66</v>
      </c>
      <c r="H33" s="14">
        <f>ROUND(Tabela13[[#This Row],[RSF 2023
]]*$G$46/Tabela13[[#Totals],[RSF 2023
]],2)+Tabela13[[#This Row],[RSF 2023
]]</f>
        <v>7218.92</v>
      </c>
      <c r="I33" s="14">
        <v>112908.02</v>
      </c>
      <c r="J33" s="14">
        <f>ROUND(I33*'2024-PREGLED'!$E$11/'2024-PREGLED'!$E$10,2)</f>
        <v>118765.62</v>
      </c>
      <c r="K33" s="14">
        <f>ROUND(Tabela13[[#This Row],[Izravnava nesorazmerij total (sklep 15.7.2022)]]*'2024-PREGLED'!$E$18/'2024-PREGLED'!$E$21,2)</f>
        <v>0</v>
      </c>
      <c r="L33" s="14">
        <f>Tabela13[[#This Row],[(ISF-O + PSF-O)2024 po ZZrID 25/1]]+Tabela13[[#This Row],[Izravnava nesorazmerij 2024 po ZZrID 103/9]]</f>
        <v>118765.62</v>
      </c>
      <c r="M33" s="14">
        <f>Tabela13[[#This Row],[(ISF-O + PSF-O)2024
]]+Tabela13[[#This Row],[RSF 2024
]]</f>
        <v>125984.54</v>
      </c>
      <c r="N33" s="14">
        <f>Tabela13[[#This Row],[(ISF-O + PSF-O)2024
]]-Tabela13[[#This Row],[(ISF-O + PSF-O)2023
]]</f>
        <v>5857.5999999999913</v>
      </c>
      <c r="O33" s="26">
        <f>Tabela13[[#This Row],[RSF 2024
]]/Tabela13[[#This Row],[(ISF-O + PSF-O)2024 po ZZrID 25/1]]</f>
        <v>6.0782910071113173E-2</v>
      </c>
      <c r="P33" s="27">
        <f>Tabela13[[#This Row],[(ISF-O + PSF-O)2024 po ZZrID 25/1]]/Tabela13[[#This Row],[(ISF-O + PSF-O)2023
]]</f>
        <v>1.0518793970525742</v>
      </c>
      <c r="Q33" s="27" t="str">
        <f>IF(Tabela13[[#This Row],[MATIČNA RO vsaj enemu RPROG]]="DA",Tabela13[[#This Row],[Izravnava nesorazmerij 2024 po ZZrID 103/9]]/Tabela13[[#This Row],[Izravnava nesorazmerij total (sklep 15.7.2022)]],"-")</f>
        <v>-</v>
      </c>
      <c r="R33" s="9">
        <f>Tabela13[[#This Row],[Stabilno financiranje 2024]]-Tabela13[[#This Row],[Stabilno financiranje 2023
=G+I]]</f>
        <v>5857.859999999986</v>
      </c>
    </row>
    <row r="34" spans="1:18" x14ac:dyDescent="0.4">
      <c r="A34" s="4">
        <v>1502</v>
      </c>
      <c r="B34" s="4" t="s">
        <v>34</v>
      </c>
      <c r="C34" s="8">
        <v>513356.44999999972</v>
      </c>
      <c r="D34" s="5" t="s">
        <v>58</v>
      </c>
      <c r="E34" s="8">
        <v>3144034.64</v>
      </c>
      <c r="F34" s="14">
        <v>3757829.5</v>
      </c>
      <c r="G34" s="14">
        <v>225815.76</v>
      </c>
      <c r="H34" s="14">
        <f>ROUND(Tabela13[[#This Row],[RSF 2023
]]*$G$46/Tabela13[[#Totals],[RSF 2023
]],2)+Tabela13[[#This Row],[RSF 2023
]]</f>
        <v>225823.97</v>
      </c>
      <c r="I34" s="14">
        <v>3532013.7399999998</v>
      </c>
      <c r="J34" s="14">
        <f>ROUND(I34*'2024-PREGLED'!$E$11/'2024-PREGLED'!$E$10,2)</f>
        <v>3715252.55</v>
      </c>
      <c r="K34" s="14">
        <f>ROUND(Tabela13[[#This Row],[Izravnava nesorazmerij total (sklep 15.7.2022)]]*'2024-PREGLED'!$E$18/'2024-PREGLED'!$E$21,2)</f>
        <v>61284.01</v>
      </c>
      <c r="L34" s="14">
        <f>Tabela13[[#This Row],[(ISF-O + PSF-O)2024 po ZZrID 25/1]]+Tabela13[[#This Row],[Izravnava nesorazmerij 2024 po ZZrID 103/9]]</f>
        <v>3776536.5599999996</v>
      </c>
      <c r="M34" s="14">
        <f>Tabela13[[#This Row],[(ISF-O + PSF-O)2024
]]+Tabela13[[#This Row],[RSF 2024
]]</f>
        <v>4002360.53</v>
      </c>
      <c r="N34" s="14">
        <f>Tabela13[[#This Row],[(ISF-O + PSF-O)2024
]]-Tabela13[[#This Row],[(ISF-O + PSF-O)2023
]]</f>
        <v>244522.81999999983</v>
      </c>
      <c r="O34" s="26">
        <f>Tabela13[[#This Row],[RSF 2024
]]/Tabela13[[#This Row],[(ISF-O + PSF-O)2024 po ZZrID 25/1]]</f>
        <v>6.0782939237872272E-2</v>
      </c>
      <c r="P34" s="27">
        <f>Tabela13[[#This Row],[(ISF-O + PSF-O)2024 po ZZrID 25/1]]/Tabela13[[#This Row],[(ISF-O + PSF-O)2023
]]</f>
        <v>1.0518794159617284</v>
      </c>
      <c r="Q34" s="27">
        <f>IF(Tabela13[[#This Row],[MATIČNA RO vsaj enemu RPROG]]="DA",Tabela13[[#This Row],[Izravnava nesorazmerij 2024 po ZZrID 103/9]]/Tabela13[[#This Row],[Izravnava nesorazmerij total (sklep 15.7.2022)]],"-")</f>
        <v>0.11937905913133075</v>
      </c>
      <c r="R34" s="9">
        <f>Tabela13[[#This Row],[Stabilno financiranje 2024]]-Tabela13[[#This Row],[Stabilno financiranje 2023
=G+I]]</f>
        <v>244531.0299999998</v>
      </c>
    </row>
    <row r="35" spans="1:18" x14ac:dyDescent="0.4">
      <c r="A35" s="4">
        <v>1510</v>
      </c>
      <c r="B35" s="4" t="s">
        <v>35</v>
      </c>
      <c r="C35" s="8">
        <v>1103864.02</v>
      </c>
      <c r="D35" s="5" t="s">
        <v>58</v>
      </c>
      <c r="E35" s="8">
        <v>2466865.8499999996</v>
      </c>
      <c r="F35" s="14">
        <v>3089216.63</v>
      </c>
      <c r="G35" s="14">
        <v>185637.43</v>
      </c>
      <c r="H35" s="14">
        <f>ROUND(Tabela13[[#This Row],[RSF 2023
]]*$G$46/Tabela13[[#Totals],[RSF 2023
]],2)+Tabela13[[#This Row],[RSF 2023
]]</f>
        <v>185644.18</v>
      </c>
      <c r="I35" s="14">
        <v>2903579.1999999997</v>
      </c>
      <c r="J35" s="14">
        <f>ROUND(I35*'2024-PREGLED'!$E$11/'2024-PREGLED'!$E$10,2)</f>
        <v>3054215.2</v>
      </c>
      <c r="K35" s="14">
        <f>ROUND(Tabela13[[#This Row],[Izravnava nesorazmerij total (sklep 15.7.2022)]]*'2024-PREGLED'!$E$18/'2024-PREGLED'!$E$21,2)</f>
        <v>131778.25</v>
      </c>
      <c r="L35" s="14">
        <f>Tabela13[[#This Row],[(ISF-O + PSF-O)2024 po ZZrID 25/1]]+Tabela13[[#This Row],[Izravnava nesorazmerij 2024 po ZZrID 103/9]]</f>
        <v>3185993.45</v>
      </c>
      <c r="M35" s="14">
        <f>Tabela13[[#This Row],[(ISF-O + PSF-O)2024
]]+Tabela13[[#This Row],[RSF 2024
]]</f>
        <v>3371637.6300000004</v>
      </c>
      <c r="N35" s="14">
        <f>Tabela13[[#This Row],[(ISF-O + PSF-O)2024
]]-Tabela13[[#This Row],[(ISF-O + PSF-O)2023
]]</f>
        <v>282414.25000000047</v>
      </c>
      <c r="O35" s="26">
        <f>Tabela13[[#This Row],[RSF 2024
]]/Tabela13[[#This Row],[(ISF-O + PSF-O)2024 po ZZrID 25/1]]</f>
        <v>6.0782940245991832E-2</v>
      </c>
      <c r="P35" s="27">
        <f>Tabela13[[#This Row],[(ISF-O + PSF-O)2024 po ZZrID 25/1]]/Tabela13[[#This Row],[(ISF-O + PSF-O)2023
]]</f>
        <v>1.051879418339958</v>
      </c>
      <c r="Q35" s="27">
        <f>IF(Tabela13[[#This Row],[MATIČNA RO vsaj enemu RPROG]]="DA",Tabela13[[#This Row],[Izravnava nesorazmerij 2024 po ZZrID 103/9]]/Tabela13[[#This Row],[Izravnava nesorazmerij total (sklep 15.7.2022)]],"-")</f>
        <v>0.11937906083758396</v>
      </c>
      <c r="R35" s="9">
        <f>Tabela13[[#This Row],[Stabilno financiranje 2024]]-Tabela13[[#This Row],[Stabilno financiranje 2023
=G+I]]</f>
        <v>282421.00000000047</v>
      </c>
    </row>
    <row r="36" spans="1:18" x14ac:dyDescent="0.4">
      <c r="A36" s="4">
        <v>1522</v>
      </c>
      <c r="B36" s="4" t="s">
        <v>36</v>
      </c>
      <c r="C36" s="8">
        <v>0</v>
      </c>
      <c r="D36" s="5" t="s">
        <v>59</v>
      </c>
      <c r="E36" s="8">
        <v>21323.7</v>
      </c>
      <c r="F36" s="14">
        <v>24787.59</v>
      </c>
      <c r="G36" s="14">
        <v>1489.54</v>
      </c>
      <c r="H36" s="14">
        <f>ROUND(Tabela13[[#This Row],[RSF 2023
]]*$G$46/Tabela13[[#Totals],[RSF 2023
]],2)+Tabela13[[#This Row],[RSF 2023
]]</f>
        <v>1489.59</v>
      </c>
      <c r="I36" s="14">
        <v>23298.05</v>
      </c>
      <c r="J36" s="14">
        <f>ROUND(I36*'2024-PREGLED'!$E$11/'2024-PREGLED'!$E$10,2)</f>
        <v>24506.74</v>
      </c>
      <c r="K36" s="14">
        <f>ROUND(Tabela13[[#This Row],[Izravnava nesorazmerij total (sklep 15.7.2022)]]*'2024-PREGLED'!$E$18/'2024-PREGLED'!$E$21,2)</f>
        <v>0</v>
      </c>
      <c r="L36" s="14">
        <f>Tabela13[[#This Row],[(ISF-O + PSF-O)2024 po ZZrID 25/1]]+Tabela13[[#This Row],[Izravnava nesorazmerij 2024 po ZZrID 103/9]]</f>
        <v>24506.74</v>
      </c>
      <c r="M36" s="14">
        <f>Tabela13[[#This Row],[(ISF-O + PSF-O)2024
]]+Tabela13[[#This Row],[RSF 2024
]]</f>
        <v>25996.33</v>
      </c>
      <c r="N36" s="14">
        <f>Tabela13[[#This Row],[(ISF-O + PSF-O)2024
]]-Tabela13[[#This Row],[(ISF-O + PSF-O)2023
]]</f>
        <v>1208.6900000000023</v>
      </c>
      <c r="O36" s="26">
        <f>Tabela13[[#This Row],[RSF 2024
]]/Tabela13[[#This Row],[(ISF-O + PSF-O)2024 po ZZrID 25/1]]</f>
        <v>6.0782870345056091E-2</v>
      </c>
      <c r="P36" s="27">
        <f>Tabela13[[#This Row],[(ISF-O + PSF-O)2024 po ZZrID 25/1]]/Tabela13[[#This Row],[(ISF-O + PSF-O)2023
]]</f>
        <v>1.0518794491384473</v>
      </c>
      <c r="Q36" s="27" t="str">
        <f>IF(Tabela13[[#This Row],[MATIČNA RO vsaj enemu RPROG]]="DA",Tabela13[[#This Row],[Izravnava nesorazmerij 2024 po ZZrID 103/9]]/Tabela13[[#This Row],[Izravnava nesorazmerij total (sklep 15.7.2022)]],"-")</f>
        <v>-</v>
      </c>
      <c r="R36" s="9">
        <f>Tabela13[[#This Row],[Stabilno financiranje 2024]]-Tabela13[[#This Row],[Stabilno financiranje 2023
=G+I]]</f>
        <v>1208.7400000000016</v>
      </c>
    </row>
    <row r="37" spans="1:18" x14ac:dyDescent="0.4">
      <c r="A37" s="4">
        <v>1540</v>
      </c>
      <c r="B37" s="4" t="s">
        <v>37</v>
      </c>
      <c r="C37" s="8">
        <v>1302450.3200000003</v>
      </c>
      <c r="D37" s="5" t="s">
        <v>58</v>
      </c>
      <c r="E37" s="8">
        <v>3226183.4800000004</v>
      </c>
      <c r="F37" s="14">
        <v>4011750.86</v>
      </c>
      <c r="G37" s="14">
        <v>241074.42</v>
      </c>
      <c r="H37" s="14">
        <f>ROUND(Tabela13[[#This Row],[RSF 2023
]]*$G$46/Tabela13[[#Totals],[RSF 2023
]],2)+Tabela13[[#This Row],[RSF 2023
]]</f>
        <v>241083.19</v>
      </c>
      <c r="I37" s="14">
        <v>3770676.44</v>
      </c>
      <c r="J37" s="14">
        <f>ROUND(I37*'2024-PREGLED'!$E$11/'2024-PREGLED'!$E$10,2)</f>
        <v>3966296.93</v>
      </c>
      <c r="K37" s="14">
        <f>ROUND(Tabela13[[#This Row],[Izravnava nesorazmerij total (sklep 15.7.2022)]]*'2024-PREGLED'!$E$18/'2024-PREGLED'!$E$21,2)</f>
        <v>155485.29999999999</v>
      </c>
      <c r="L37" s="14">
        <f>Tabela13[[#This Row],[(ISF-O + PSF-O)2024 po ZZrID 25/1]]+Tabela13[[#This Row],[Izravnava nesorazmerij 2024 po ZZrID 103/9]]</f>
        <v>4121782.23</v>
      </c>
      <c r="M37" s="14">
        <f>Tabela13[[#This Row],[(ISF-O + PSF-O)2024
]]+Tabela13[[#This Row],[RSF 2024
]]</f>
        <v>4362865.42</v>
      </c>
      <c r="N37" s="14">
        <f>Tabela13[[#This Row],[(ISF-O + PSF-O)2024
]]-Tabela13[[#This Row],[(ISF-O + PSF-O)2023
]]</f>
        <v>351105.79000000004</v>
      </c>
      <c r="O37" s="26">
        <f>Tabela13[[#This Row],[RSF 2024
]]/Tabela13[[#This Row],[(ISF-O + PSF-O)2024 po ZZrID 25/1]]</f>
        <v>6.0782940423978797E-2</v>
      </c>
      <c r="P37" s="27">
        <f>Tabela13[[#This Row],[(ISF-O + PSF-O)2024 po ZZrID 25/1]]/Tabela13[[#This Row],[(ISF-O + PSF-O)2023
]]</f>
        <v>1.0518794155671443</v>
      </c>
      <c r="Q37" s="27">
        <f>IF(Tabela13[[#This Row],[MATIČNA RO vsaj enemu RPROG]]="DA",Tabela13[[#This Row],[Izravnava nesorazmerij 2024 po ZZrID 103/9]]/Tabela13[[#This Row],[Izravnava nesorazmerij total (sklep 15.7.2022)]],"-")</f>
        <v>0.11937906391700219</v>
      </c>
      <c r="R37" s="9">
        <f>Tabela13[[#This Row],[Stabilno financiranje 2024]]-Tabela13[[#This Row],[Stabilno financiranje 2023
=G+I]]</f>
        <v>351114.56000000006</v>
      </c>
    </row>
    <row r="38" spans="1:18" x14ac:dyDescent="0.4">
      <c r="A38" s="4">
        <v>1608</v>
      </c>
      <c r="B38" s="4" t="s">
        <v>38</v>
      </c>
      <c r="C38" s="8">
        <v>144147.62</v>
      </c>
      <c r="D38" s="5" t="s">
        <v>58</v>
      </c>
      <c r="E38" s="8">
        <v>215767.96999999997</v>
      </c>
      <c r="F38" s="14">
        <v>279758.83999999997</v>
      </c>
      <c r="G38" s="14">
        <v>16811.29</v>
      </c>
      <c r="H38" s="14">
        <f>ROUND(Tabela13[[#This Row],[RSF 2023
]]*$G$46/Tabela13[[#Totals],[RSF 2023
]],2)+Tabela13[[#This Row],[RSF 2023
]]</f>
        <v>16811.900000000001</v>
      </c>
      <c r="I38" s="14">
        <v>262947.55</v>
      </c>
      <c r="J38" s="14">
        <f>ROUND(I38*'2024-PREGLED'!$E$11/'2024-PREGLED'!$E$10,2)</f>
        <v>276589.12</v>
      </c>
      <c r="K38" s="14">
        <f>ROUND(Tabela13[[#This Row],[Izravnava nesorazmerij total (sklep 15.7.2022)]]*'2024-PREGLED'!$E$18/'2024-PREGLED'!$E$21,2)</f>
        <v>17208.21</v>
      </c>
      <c r="L38" s="14">
        <f>Tabela13[[#This Row],[(ISF-O + PSF-O)2024 po ZZrID 25/1]]+Tabela13[[#This Row],[Izravnava nesorazmerij 2024 po ZZrID 103/9]]</f>
        <v>293797.33</v>
      </c>
      <c r="M38" s="14">
        <f>Tabela13[[#This Row],[(ISF-O + PSF-O)2024
]]+Tabela13[[#This Row],[RSF 2024
]]</f>
        <v>310609.23000000004</v>
      </c>
      <c r="N38" s="14">
        <f>Tabela13[[#This Row],[(ISF-O + PSF-O)2024
]]-Tabela13[[#This Row],[(ISF-O + PSF-O)2023
]]</f>
        <v>30849.780000000028</v>
      </c>
      <c r="O38" s="26">
        <f>Tabela13[[#This Row],[RSF 2024
]]/Tabela13[[#This Row],[(ISF-O + PSF-O)2024 po ZZrID 25/1]]</f>
        <v>6.0782940413563635E-2</v>
      </c>
      <c r="P38" s="27">
        <f>Tabela13[[#This Row],[(ISF-O + PSF-O)2024 po ZZrID 25/1]]/Tabela13[[#This Row],[(ISF-O + PSF-O)2023
]]</f>
        <v>1.0518794337501909</v>
      </c>
      <c r="Q38" s="27">
        <f>IF(Tabela13[[#This Row],[MATIČNA RO vsaj enemu RPROG]]="DA",Tabela13[[#This Row],[Izravnava nesorazmerij 2024 po ZZrID 103/9]]/Tabela13[[#This Row],[Izravnava nesorazmerij total (sklep 15.7.2022)]],"-")</f>
        <v>0.11937907819775311</v>
      </c>
      <c r="R38" s="9">
        <f>Tabela13[[#This Row],[Stabilno financiranje 2024]]-Tabela13[[#This Row],[Stabilno financiranje 2023
=G+I]]</f>
        <v>30850.390000000072</v>
      </c>
    </row>
    <row r="39" spans="1:18" x14ac:dyDescent="0.4">
      <c r="A39" s="4">
        <v>1613</v>
      </c>
      <c r="B39" s="4" t="s">
        <v>39</v>
      </c>
      <c r="C39" s="8">
        <v>23373.760000000009</v>
      </c>
      <c r="D39" s="5" t="s">
        <v>58</v>
      </c>
      <c r="E39" s="8">
        <v>304453.17999999993</v>
      </c>
      <c r="F39" s="14">
        <v>358602.35</v>
      </c>
      <c r="G39" s="14">
        <v>21549.16</v>
      </c>
      <c r="H39" s="14">
        <f>ROUND(Tabela13[[#This Row],[RSF 2023
]]*$G$46/Tabela13[[#Totals],[RSF 2023
]],2)+Tabela13[[#This Row],[RSF 2023
]]</f>
        <v>21549.94</v>
      </c>
      <c r="I39" s="14">
        <v>337053.19</v>
      </c>
      <c r="J39" s="14">
        <f>ROUND(I39*'2024-PREGLED'!$E$11/'2024-PREGLED'!$E$10,2)</f>
        <v>354539.31</v>
      </c>
      <c r="K39" s="14">
        <f>ROUND(Tabela13[[#This Row],[Izravnava nesorazmerij total (sklep 15.7.2022)]]*'2024-PREGLED'!$E$18/'2024-PREGLED'!$E$21,2)</f>
        <v>2790.34</v>
      </c>
      <c r="L39" s="14">
        <f>Tabela13[[#This Row],[(ISF-O + PSF-O)2024 po ZZrID 25/1]]+Tabela13[[#This Row],[Izravnava nesorazmerij 2024 po ZZrID 103/9]]</f>
        <v>357329.65</v>
      </c>
      <c r="M39" s="14">
        <f>Tabela13[[#This Row],[(ISF-O + PSF-O)2024
]]+Tabela13[[#This Row],[RSF 2024
]]</f>
        <v>378879.59</v>
      </c>
      <c r="N39" s="14">
        <f>Tabela13[[#This Row],[(ISF-O + PSF-O)2024
]]-Tabela13[[#This Row],[(ISF-O + PSF-O)2023
]]</f>
        <v>20276.460000000021</v>
      </c>
      <c r="O39" s="26">
        <f>Tabela13[[#This Row],[RSF 2024
]]/Tabela13[[#This Row],[(ISF-O + PSF-O)2024 po ZZrID 25/1]]</f>
        <v>6.0782935466309786E-2</v>
      </c>
      <c r="P39" s="27">
        <f>Tabela13[[#This Row],[(ISF-O + PSF-O)2024 po ZZrID 25/1]]/Tabela13[[#This Row],[(ISF-O + PSF-O)2023
]]</f>
        <v>1.0518794081135978</v>
      </c>
      <c r="Q39" s="27">
        <f>IF(Tabela13[[#This Row],[MATIČNA RO vsaj enemu RPROG]]="DA",Tabela13[[#This Row],[Izravnava nesorazmerij 2024 po ZZrID 103/9]]/Tabela13[[#This Row],[Izravnava nesorazmerij total (sklep 15.7.2022)]],"-")</f>
        <v>0.11937916706597479</v>
      </c>
      <c r="R39" s="9">
        <f>Tabela13[[#This Row],[Stabilno financiranje 2024]]-Tabela13[[#This Row],[Stabilno financiranje 2023
=G+I]]</f>
        <v>20277.240000000049</v>
      </c>
    </row>
    <row r="40" spans="1:18" x14ac:dyDescent="0.4">
      <c r="A40" s="4">
        <v>1620</v>
      </c>
      <c r="B40" s="4" t="s">
        <v>40</v>
      </c>
      <c r="C40" s="8">
        <v>0</v>
      </c>
      <c r="D40" s="5" t="s">
        <v>59</v>
      </c>
      <c r="E40" s="8">
        <v>31787.250000000004</v>
      </c>
      <c r="F40" s="14">
        <v>36950.869999999995</v>
      </c>
      <c r="G40" s="14">
        <v>2220.4499999999998</v>
      </c>
      <c r="H40" s="14">
        <f>ROUND(Tabela13[[#This Row],[RSF 2023
]]*$G$46/Tabela13[[#Totals],[RSF 2023
]],2)+Tabela13[[#This Row],[RSF 2023
]]</f>
        <v>2220.5299999999997</v>
      </c>
      <c r="I40" s="14">
        <v>34730.42</v>
      </c>
      <c r="J40" s="14">
        <f>ROUND(I40*'2024-PREGLED'!$E$11/'2024-PREGLED'!$E$10,2)</f>
        <v>36532.21</v>
      </c>
      <c r="K40" s="14">
        <f>ROUND(Tabela13[[#This Row],[Izravnava nesorazmerij total (sklep 15.7.2022)]]*'2024-PREGLED'!$E$18/'2024-PREGLED'!$E$21,2)</f>
        <v>0</v>
      </c>
      <c r="L40" s="14">
        <f>Tabela13[[#This Row],[(ISF-O + PSF-O)2024 po ZZrID 25/1]]+Tabela13[[#This Row],[Izravnava nesorazmerij 2024 po ZZrID 103/9]]</f>
        <v>36532.21</v>
      </c>
      <c r="M40" s="14">
        <f>Tabela13[[#This Row],[(ISF-O + PSF-O)2024
]]+Tabela13[[#This Row],[RSF 2024
]]</f>
        <v>38752.74</v>
      </c>
      <c r="N40" s="14">
        <f>Tabela13[[#This Row],[(ISF-O + PSF-O)2024
]]-Tabela13[[#This Row],[(ISF-O + PSF-O)2023
]]</f>
        <v>1801.7900000000009</v>
      </c>
      <c r="O40" s="26">
        <f>Tabela13[[#This Row],[RSF 2024
]]/Tabela13[[#This Row],[(ISF-O + PSF-O)2024 po ZZrID 25/1]]</f>
        <v>6.0782799617105011E-2</v>
      </c>
      <c r="P40" s="27">
        <f>Tabela13[[#This Row],[(ISF-O + PSF-O)2024 po ZZrID 25/1]]/Tabela13[[#This Row],[(ISF-O + PSF-O)2023
]]</f>
        <v>1.05187930350396</v>
      </c>
      <c r="Q40" s="27" t="str">
        <f>IF(Tabela13[[#This Row],[MATIČNA RO vsaj enemu RPROG]]="DA",Tabela13[[#This Row],[Izravnava nesorazmerij 2024 po ZZrID 103/9]]/Tabela13[[#This Row],[Izravnava nesorazmerij total (sklep 15.7.2022)]],"-")</f>
        <v>-</v>
      </c>
      <c r="R40" s="9">
        <f>Tabela13[[#This Row],[Stabilno financiranje 2024]]-Tabela13[[#This Row],[Stabilno financiranje 2023
=G+I]]</f>
        <v>1801.8700000000026</v>
      </c>
    </row>
    <row r="41" spans="1:18" x14ac:dyDescent="0.4">
      <c r="A41" s="4">
        <v>1636</v>
      </c>
      <c r="B41" s="4" t="s">
        <v>41</v>
      </c>
      <c r="C41" s="8">
        <v>0</v>
      </c>
      <c r="D41" s="5" t="s">
        <v>59</v>
      </c>
      <c r="E41" s="8">
        <v>40167.39</v>
      </c>
      <c r="F41" s="14">
        <v>46692.31</v>
      </c>
      <c r="G41" s="14">
        <v>2805.84</v>
      </c>
      <c r="H41" s="14">
        <f>ROUND(Tabela13[[#This Row],[RSF 2023
]]*$G$46/Tabela13[[#Totals],[RSF 2023
]],2)+Tabela13[[#This Row],[RSF 2023
]]</f>
        <v>2805.94</v>
      </c>
      <c r="I41" s="14">
        <v>43886.47</v>
      </c>
      <c r="J41" s="14">
        <f>ROUND(I41*'2024-PREGLED'!$E$11/'2024-PREGLED'!$E$10,2)</f>
        <v>46163.27</v>
      </c>
      <c r="K41" s="14">
        <f>ROUND(Tabela13[[#This Row],[Izravnava nesorazmerij total (sklep 15.7.2022)]]*'2024-PREGLED'!$E$18/'2024-PREGLED'!$E$21,2)</f>
        <v>0</v>
      </c>
      <c r="L41" s="14">
        <f>Tabela13[[#This Row],[(ISF-O + PSF-O)2024 po ZZrID 25/1]]+Tabela13[[#This Row],[Izravnava nesorazmerij 2024 po ZZrID 103/9]]</f>
        <v>46163.27</v>
      </c>
      <c r="M41" s="14">
        <f>Tabela13[[#This Row],[(ISF-O + PSF-O)2024
]]+Tabela13[[#This Row],[RSF 2024
]]</f>
        <v>48969.21</v>
      </c>
      <c r="N41" s="14">
        <f>Tabela13[[#This Row],[(ISF-O + PSF-O)2024
]]-Tabela13[[#This Row],[(ISF-O + PSF-O)2023
]]</f>
        <v>2276.7999999999956</v>
      </c>
      <c r="O41" s="26">
        <f>Tabela13[[#This Row],[RSF 2024
]]/Tabela13[[#This Row],[(ISF-O + PSF-O)2024 po ZZrID 25/1]]</f>
        <v>6.078295580014155E-2</v>
      </c>
      <c r="P41" s="27">
        <f>Tabela13[[#This Row],[(ISF-O + PSF-O)2024 po ZZrID 25/1]]/Tabela13[[#This Row],[(ISF-O + PSF-O)2023
]]</f>
        <v>1.0518793149688275</v>
      </c>
      <c r="Q41" s="27" t="str">
        <f>IF(Tabela13[[#This Row],[MATIČNA RO vsaj enemu RPROG]]="DA",Tabela13[[#This Row],[Izravnava nesorazmerij 2024 po ZZrID 103/9]]/Tabela13[[#This Row],[Izravnava nesorazmerij total (sklep 15.7.2022)]],"-")</f>
        <v>-</v>
      </c>
      <c r="R41" s="9">
        <f>Tabela13[[#This Row],[Stabilno financiranje 2024]]-Tabela13[[#This Row],[Stabilno financiranje 2023
=G+I]]</f>
        <v>2276.9000000000015</v>
      </c>
    </row>
    <row r="42" spans="1:18" x14ac:dyDescent="0.4">
      <c r="A42" s="4">
        <v>1988</v>
      </c>
      <c r="B42" s="4" t="s">
        <v>42</v>
      </c>
      <c r="C42" s="8">
        <v>1853711.9300000002</v>
      </c>
      <c r="D42" s="5" t="s">
        <v>58</v>
      </c>
      <c r="E42" s="8">
        <v>2792060</v>
      </c>
      <c r="F42" s="14">
        <v>3617784.89</v>
      </c>
      <c r="G42" s="14">
        <v>217400.19</v>
      </c>
      <c r="H42" s="14">
        <f>ROUND(Tabela13[[#This Row],[RSF 2023
]]*$G$46/Tabela13[[#Totals],[RSF 2023
]],2)+Tabela13[[#This Row],[RSF 2023
]]</f>
        <v>217408.1</v>
      </c>
      <c r="I42" s="14">
        <v>3400384.7</v>
      </c>
      <c r="J42" s="14">
        <f>ROUND(I42*'2024-PREGLED'!$E$11/'2024-PREGLED'!$E$10,2)</f>
        <v>3576794.67</v>
      </c>
      <c r="K42" s="14">
        <f>ROUND(Tabela13[[#This Row],[Izravnava nesorazmerij total (sklep 15.7.2022)]]*'2024-PREGLED'!$E$18/'2024-PREGLED'!$E$21,2)</f>
        <v>221294.4</v>
      </c>
      <c r="L42" s="14">
        <f>Tabela13[[#This Row],[(ISF-O + PSF-O)2024 po ZZrID 25/1]]+Tabela13[[#This Row],[Izravnava nesorazmerij 2024 po ZZrID 103/9]]</f>
        <v>3798089.07</v>
      </c>
      <c r="M42" s="14">
        <f>Tabela13[[#This Row],[(ISF-O + PSF-O)2024
]]+Tabela13[[#This Row],[RSF 2024
]]</f>
        <v>4015497.17</v>
      </c>
      <c r="N42" s="14">
        <f>Tabela13[[#This Row],[(ISF-O + PSF-O)2024
]]-Tabela13[[#This Row],[(ISF-O + PSF-O)2023
]]</f>
        <v>397704.36999999965</v>
      </c>
      <c r="O42" s="26">
        <f>Tabela13[[#This Row],[RSF 2024
]]/Tabela13[[#This Row],[(ISF-O + PSF-O)2024 po ZZrID 25/1]]</f>
        <v>6.0782941168943311E-2</v>
      </c>
      <c r="P42" s="27">
        <f>Tabela13[[#This Row],[(ISF-O + PSF-O)2024 po ZZrID 25/1]]/Tabela13[[#This Row],[(ISF-O + PSF-O)2023
]]</f>
        <v>1.0518794152908639</v>
      </c>
      <c r="Q42" s="27">
        <f>IF(Tabela13[[#This Row],[MATIČNA RO vsaj enemu RPROG]]="DA",Tabela13[[#This Row],[Izravnava nesorazmerij 2024 po ZZrID 103/9]]/Tabela13[[#This Row],[Izravnava nesorazmerij total (sklep 15.7.2022)]],"-")</f>
        <v>0.11937906662768254</v>
      </c>
      <c r="R42" s="9">
        <f>Tabela13[[#This Row],[Stabilno financiranje 2024]]-Tabela13[[#This Row],[Stabilno financiranje 2023
=G+I]]</f>
        <v>397712.2799999998</v>
      </c>
    </row>
    <row r="43" spans="1:18" x14ac:dyDescent="0.4">
      <c r="A43" s="4">
        <v>2338</v>
      </c>
      <c r="B43" s="4" t="s">
        <v>43</v>
      </c>
      <c r="C43" s="8">
        <v>0</v>
      </c>
      <c r="D43" s="5" t="s">
        <v>59</v>
      </c>
      <c r="E43" s="8">
        <v>47260.820000000007</v>
      </c>
      <c r="F43" s="14">
        <v>54938.020000000004</v>
      </c>
      <c r="G43" s="14">
        <v>3301.34</v>
      </c>
      <c r="H43" s="14">
        <f>ROUND(Tabela13[[#This Row],[RSF 2023
]]*$G$46/Tabela13[[#Totals],[RSF 2023
]],2)+Tabela13[[#This Row],[RSF 2023
]]</f>
        <v>3301.46</v>
      </c>
      <c r="I43" s="14">
        <v>51636.68</v>
      </c>
      <c r="J43" s="14">
        <f>ROUND(I43*'2024-PREGLED'!$E$11/'2024-PREGLED'!$E$10,2)</f>
        <v>54315.56</v>
      </c>
      <c r="K43" s="14">
        <f>ROUND(Tabela13[[#This Row],[Izravnava nesorazmerij total (sklep 15.7.2022)]]*'2024-PREGLED'!$E$18/'2024-PREGLED'!$E$21,2)</f>
        <v>0</v>
      </c>
      <c r="L43" s="14">
        <f>Tabela13[[#This Row],[(ISF-O + PSF-O)2024 po ZZrID 25/1]]+Tabela13[[#This Row],[Izravnava nesorazmerij 2024 po ZZrID 103/9]]</f>
        <v>54315.56</v>
      </c>
      <c r="M43" s="14">
        <f>Tabela13[[#This Row],[(ISF-O + PSF-O)2024
]]+Tabela13[[#This Row],[RSF 2024
]]</f>
        <v>57617.02</v>
      </c>
      <c r="N43" s="14">
        <f>Tabela13[[#This Row],[(ISF-O + PSF-O)2024
]]-Tabela13[[#This Row],[(ISF-O + PSF-O)2023
]]</f>
        <v>2678.8799999999974</v>
      </c>
      <c r="O43" s="26">
        <f>Tabela13[[#This Row],[RSF 2024
]]/Tabela13[[#This Row],[(ISF-O + PSF-O)2024 po ZZrID 25/1]]</f>
        <v>6.0782950594636238E-2</v>
      </c>
      <c r="P43" s="27">
        <f>Tabela13[[#This Row],[(ISF-O + PSF-O)2024 po ZZrID 25/1]]/Tabela13[[#This Row],[(ISF-O + PSF-O)2023
]]</f>
        <v>1.0518794004571943</v>
      </c>
      <c r="Q43" s="27" t="str">
        <f>IF(Tabela13[[#This Row],[MATIČNA RO vsaj enemu RPROG]]="DA",Tabela13[[#This Row],[Izravnava nesorazmerij 2024 po ZZrID 103/9]]/Tabela13[[#This Row],[Izravnava nesorazmerij total (sklep 15.7.2022)]],"-")</f>
        <v>-</v>
      </c>
      <c r="R43" s="9">
        <f>Tabela13[[#This Row],[Stabilno financiranje 2024]]-Tabela13[[#This Row],[Stabilno financiranje 2023
=G+I]]</f>
        <v>2678.9999999999927</v>
      </c>
    </row>
    <row r="44" spans="1:18" x14ac:dyDescent="0.4">
      <c r="A44" s="4">
        <v>2404</v>
      </c>
      <c r="B44" s="4" t="s">
        <v>44</v>
      </c>
      <c r="C44" s="8">
        <v>4841.4899999999907</v>
      </c>
      <c r="D44" s="5" t="s">
        <v>58</v>
      </c>
      <c r="E44" s="8">
        <v>388461.47</v>
      </c>
      <c r="F44" s="14">
        <v>452536.43999999994</v>
      </c>
      <c r="G44" s="14">
        <v>27193.85</v>
      </c>
      <c r="H44" s="14">
        <f>ROUND(Tabela13[[#This Row],[RSF 2023
]]*$G$46/Tabela13[[#Totals],[RSF 2023
]],2)+Tabela13[[#This Row],[RSF 2023
]]</f>
        <v>27194.84</v>
      </c>
      <c r="I44" s="14">
        <v>425342.58999999997</v>
      </c>
      <c r="J44" s="14">
        <f>ROUND(I44*'2024-PREGLED'!$E$11/'2024-PREGLED'!$E$10,2)</f>
        <v>447409.12</v>
      </c>
      <c r="K44" s="14">
        <f>ROUND(Tabela13[[#This Row],[Izravnava nesorazmerij total (sklep 15.7.2022)]]*'2024-PREGLED'!$E$18/'2024-PREGLED'!$E$21,2)</f>
        <v>577.97</v>
      </c>
      <c r="L44" s="14">
        <f>Tabela13[[#This Row],[(ISF-O + PSF-O)2024 po ZZrID 25/1]]+Tabela13[[#This Row],[Izravnava nesorazmerij 2024 po ZZrID 103/9]]</f>
        <v>447987.08999999997</v>
      </c>
      <c r="M44" s="14">
        <f>Tabela13[[#This Row],[(ISF-O + PSF-O)2024
]]+Tabela13[[#This Row],[RSF 2024
]]</f>
        <v>475181.93</v>
      </c>
      <c r="N44" s="14">
        <f>Tabela13[[#This Row],[(ISF-O + PSF-O)2024
]]-Tabela13[[#This Row],[(ISF-O + PSF-O)2023
]]</f>
        <v>22644.5</v>
      </c>
      <c r="O44" s="26">
        <f>Tabela13[[#This Row],[RSF 2024
]]/Tabela13[[#This Row],[(ISF-O + PSF-O)2024 po ZZrID 25/1]]</f>
        <v>6.0782936208363392E-2</v>
      </c>
      <c r="P44" s="27">
        <f>Tabela13[[#This Row],[(ISF-O + PSF-O)2024 po ZZrID 25/1]]/Tabela13[[#This Row],[(ISF-O + PSF-O)2023
]]</f>
        <v>1.0518794273576038</v>
      </c>
      <c r="Q44" s="27">
        <f>IF(Tabela13[[#This Row],[MATIČNA RO vsaj enemu RPROG]]="DA",Tabela13[[#This Row],[Izravnava nesorazmerij 2024 po ZZrID 103/9]]/Tabela13[[#This Row],[Izravnava nesorazmerij total (sklep 15.7.2022)]],"-")</f>
        <v>0.11937853842515447</v>
      </c>
      <c r="R44" s="9">
        <f>Tabela13[[#This Row],[Stabilno financiranje 2024]]-Tabela13[[#This Row],[Stabilno financiranje 2023
=G+I]]</f>
        <v>22645.490000000049</v>
      </c>
    </row>
    <row r="45" spans="1:18" x14ac:dyDescent="0.4">
      <c r="A45" s="4">
        <v>2439</v>
      </c>
      <c r="B45" s="4" t="s">
        <v>45</v>
      </c>
      <c r="C45" s="8">
        <v>17849.839999999997</v>
      </c>
      <c r="D45" s="5" t="s">
        <v>58</v>
      </c>
      <c r="E45" s="8">
        <v>178722.85</v>
      </c>
      <c r="F45" s="14">
        <v>211338.91000000003</v>
      </c>
      <c r="G45" s="14">
        <v>12699.79</v>
      </c>
      <c r="H45" s="14">
        <f>ROUND(Tabela13[[#This Row],[RSF 2023
]]*$G$46/Tabela13[[#Totals],[RSF 2023
]],2)+Tabela13[[#This Row],[RSF 2023
]]</f>
        <v>12700.25</v>
      </c>
      <c r="I45" s="14">
        <v>198639.12000000002</v>
      </c>
      <c r="J45" s="14">
        <f>ROUND(I45*'2024-PREGLED'!$E$11/'2024-PREGLED'!$E$10,2)</f>
        <v>208944.4</v>
      </c>
      <c r="K45" s="14">
        <f>ROUND(Tabela13[[#This Row],[Izravnava nesorazmerij total (sklep 15.7.2022)]]*'2024-PREGLED'!$E$18/'2024-PREGLED'!$E$21,2)</f>
        <v>2130.9</v>
      </c>
      <c r="L45" s="14">
        <f>Tabela13[[#This Row],[(ISF-O + PSF-O)2024 po ZZrID 25/1]]+Tabela13[[#This Row],[Izravnava nesorazmerij 2024 po ZZrID 103/9]]</f>
        <v>211075.3</v>
      </c>
      <c r="M45" s="14">
        <f>Tabela13[[#This Row],[(ISF-O + PSF-O)2024
]]+Tabela13[[#This Row],[RSF 2024
]]</f>
        <v>223775.55</v>
      </c>
      <c r="N45" s="14">
        <f>Tabela13[[#This Row],[(ISF-O + PSF-O)2024
]]-Tabela13[[#This Row],[(ISF-O + PSF-O)2023
]]</f>
        <v>12436.179999999964</v>
      </c>
      <c r="O45" s="26">
        <f>Tabela13[[#This Row],[RSF 2024
]]/Tabela13[[#This Row],[(ISF-O + PSF-O)2024 po ZZrID 25/1]]</f>
        <v>6.0782916412213013E-2</v>
      </c>
      <c r="P45" s="27">
        <f>Tabela13[[#This Row],[(ISF-O + PSF-O)2024 po ZZrID 25/1]]/Tabela13[[#This Row],[(ISF-O + PSF-O)2023
]]</f>
        <v>1.0518794082454652</v>
      </c>
      <c r="Q45" s="27">
        <f>IF(Tabela13[[#This Row],[MATIČNA RO vsaj enemu RPROG]]="DA",Tabela13[[#This Row],[Izravnava nesorazmerij 2024 po ZZrID 103/9]]/Tabela13[[#This Row],[Izravnava nesorazmerij total (sklep 15.7.2022)]],"-")</f>
        <v>0.11937922132635366</v>
      </c>
      <c r="R45" s="9">
        <f>Tabela13[[#This Row],[Stabilno financiranje 2024]]-Tabela13[[#This Row],[Stabilno financiranje 2023
=G+I]]</f>
        <v>12436.639999999956</v>
      </c>
    </row>
    <row r="46" spans="1:18" x14ac:dyDescent="0.4">
      <c r="A46" s="10">
        <v>2451</v>
      </c>
      <c r="B46" s="10" t="s">
        <v>73</v>
      </c>
      <c r="C46" s="12">
        <v>0</v>
      </c>
      <c r="D46" s="11" t="s">
        <v>59</v>
      </c>
      <c r="E46" s="12">
        <v>6820.42</v>
      </c>
      <c r="F46" s="35">
        <v>7928.35</v>
      </c>
      <c r="G46" s="20">
        <v>476.43</v>
      </c>
      <c r="H46" s="14"/>
      <c r="I46" s="35">
        <v>7451.92</v>
      </c>
      <c r="J46" s="14">
        <v>0</v>
      </c>
      <c r="K46" s="14">
        <v>0</v>
      </c>
      <c r="L46" s="20">
        <f>Tabela13[[#This Row],[(ISF-O + PSF-O)2024 po ZZrID 25/1]]+Tabela13[[#This Row],[Izravnava nesorazmerij 2024 po ZZrID 103/9]]</f>
        <v>0</v>
      </c>
      <c r="M46" s="20">
        <f>Tabela13[[#This Row],[(ISF-O + PSF-O)2024
]]+Tabela13[[#This Row],[RSF 2024
]]</f>
        <v>0</v>
      </c>
      <c r="N46" s="20"/>
      <c r="O46" s="30"/>
      <c r="P46" s="31"/>
      <c r="Q46" s="31" t="str">
        <f>IF(Tabela13[[#This Row],[MATIČNA RO vsaj enemu RPROG]]="DA",Tabela13[[#This Row],[Izravnava nesorazmerij 2024 po ZZrID 103/9]]/Tabela13[[#This Row],[Izravnava nesorazmerij total (sklep 15.7.2022)]],"-")</f>
        <v>-</v>
      </c>
      <c r="R46" s="13"/>
    </row>
    <row r="47" spans="1:18" x14ac:dyDescent="0.4">
      <c r="A47" s="4">
        <v>2711</v>
      </c>
      <c r="B47" s="4" t="s">
        <v>46</v>
      </c>
      <c r="C47" s="8">
        <v>0</v>
      </c>
      <c r="D47" s="5" t="s">
        <v>59</v>
      </c>
      <c r="E47" s="8">
        <v>32292.639999999999</v>
      </c>
      <c r="F47" s="14">
        <v>37538.36</v>
      </c>
      <c r="G47" s="14">
        <v>2255.7600000000002</v>
      </c>
      <c r="H47" s="14">
        <f>ROUND(Tabela13[[#This Row],[RSF 2023
]]*$G$46/Tabela13[[#Totals],[RSF 2023
]],2)+Tabela13[[#This Row],[RSF 2023
]]</f>
        <v>2255.84</v>
      </c>
      <c r="I47" s="14">
        <v>35282.6</v>
      </c>
      <c r="J47" s="14">
        <f>ROUND(I47*'2024-PREGLED'!$E$11/'2024-PREGLED'!$E$10,2)</f>
        <v>37113.040000000001</v>
      </c>
      <c r="K47" s="14">
        <f>ROUND(Tabela13[[#This Row],[Izravnava nesorazmerij total (sklep 15.7.2022)]]*'2024-PREGLED'!$E$18/'2024-PREGLED'!$E$21,2)</f>
        <v>0</v>
      </c>
      <c r="L47" s="14">
        <f>Tabela13[[#This Row],[(ISF-O + PSF-O)2024 po ZZrID 25/1]]+Tabela13[[#This Row],[Izravnava nesorazmerij 2024 po ZZrID 103/9]]</f>
        <v>37113.040000000001</v>
      </c>
      <c r="M47" s="14">
        <f>Tabela13[[#This Row],[(ISF-O + PSF-O)2024
]]+Tabela13[[#This Row],[RSF 2024
]]</f>
        <v>39368.880000000005</v>
      </c>
      <c r="N47" s="14">
        <f>Tabela13[[#This Row],[(ISF-O + PSF-O)2024
]]-Tabela13[[#This Row],[(ISF-O + PSF-O)2023
]]</f>
        <v>1830.4400000000023</v>
      </c>
      <c r="O47" s="26">
        <f>Tabela13[[#This Row],[RSF 2024
]]/Tabela13[[#This Row],[(ISF-O + PSF-O)2024 po ZZrID 25/1]]</f>
        <v>6.0782948526986742E-2</v>
      </c>
      <c r="P47" s="27">
        <f>Tabela13[[#This Row],[(ISF-O + PSF-O)2024 po ZZrID 25/1]]/Tabela13[[#This Row],[(ISF-O + PSF-O)2023
]]</f>
        <v>1.0518793966431046</v>
      </c>
      <c r="Q47" s="27" t="str">
        <f>IF(Tabela13[[#This Row],[MATIČNA RO vsaj enemu RPROG]]="DA",Tabela13[[#This Row],[Izravnava nesorazmerij 2024 po ZZrID 103/9]]/Tabela13[[#This Row],[Izravnava nesorazmerij total (sklep 15.7.2022)]],"-")</f>
        <v>-</v>
      </c>
      <c r="R47" s="9">
        <f>Tabela13[[#This Row],[Stabilno financiranje 2024]]-Tabela13[[#This Row],[Stabilno financiranje 2023
=G+I]]</f>
        <v>1830.5200000000041</v>
      </c>
    </row>
    <row r="48" spans="1:18" x14ac:dyDescent="0.4">
      <c r="A48" s="4">
        <v>2716</v>
      </c>
      <c r="B48" s="4" t="s">
        <v>47</v>
      </c>
      <c r="C48" s="8">
        <v>0</v>
      </c>
      <c r="D48" s="5" t="s">
        <v>59</v>
      </c>
      <c r="E48" s="8">
        <v>26753.45</v>
      </c>
      <c r="F48" s="14">
        <v>31099.370000000003</v>
      </c>
      <c r="G48" s="14">
        <v>1868.83</v>
      </c>
      <c r="H48" s="14">
        <f>ROUND(Tabela13[[#This Row],[RSF 2023
]]*$G$46/Tabela13[[#Totals],[RSF 2023
]],2)+Tabela13[[#This Row],[RSF 2023
]]</f>
        <v>1868.8999999999999</v>
      </c>
      <c r="I48" s="14">
        <v>29230.54</v>
      </c>
      <c r="J48" s="14">
        <f>ROUND(I48*'2024-PREGLED'!$E$11/'2024-PREGLED'!$E$10,2)</f>
        <v>30747</v>
      </c>
      <c r="K48" s="14">
        <f>ROUND(Tabela13[[#This Row],[Izravnava nesorazmerij total (sklep 15.7.2022)]]*'2024-PREGLED'!$E$18/'2024-PREGLED'!$E$21,2)</f>
        <v>0</v>
      </c>
      <c r="L48" s="14">
        <f>Tabela13[[#This Row],[(ISF-O + PSF-O)2024 po ZZrID 25/1]]+Tabela13[[#This Row],[Izravnava nesorazmerij 2024 po ZZrID 103/9]]</f>
        <v>30747</v>
      </c>
      <c r="M48" s="14">
        <f>Tabela13[[#This Row],[(ISF-O + PSF-O)2024
]]+Tabela13[[#This Row],[RSF 2024
]]</f>
        <v>32615.9</v>
      </c>
      <c r="N48" s="14">
        <f>Tabela13[[#This Row],[(ISF-O + PSF-O)2024
]]-Tabela13[[#This Row],[(ISF-O + PSF-O)2023
]]</f>
        <v>1516.4599999999991</v>
      </c>
      <c r="O48" s="26">
        <f>Tabela13[[#This Row],[RSF 2024
]]/Tabela13[[#This Row],[(ISF-O + PSF-O)2024 po ZZrID 25/1]]</f>
        <v>6.0783165837317459E-2</v>
      </c>
      <c r="P48" s="27">
        <f>Tabela13[[#This Row],[(ISF-O + PSF-O)2024 po ZZrID 25/1]]/Tabela13[[#This Row],[(ISF-O + PSF-O)2023
]]</f>
        <v>1.051879301579786</v>
      </c>
      <c r="Q48" s="27" t="str">
        <f>IF(Tabela13[[#This Row],[MATIČNA RO vsaj enemu RPROG]]="DA",Tabela13[[#This Row],[Izravnava nesorazmerij 2024 po ZZrID 103/9]]/Tabela13[[#This Row],[Izravnava nesorazmerij total (sklep 15.7.2022)]],"-")</f>
        <v>-</v>
      </c>
      <c r="R48" s="9">
        <f>Tabela13[[#This Row],[Stabilno financiranje 2024]]-Tabela13[[#This Row],[Stabilno financiranje 2023
=G+I]]</f>
        <v>1516.5299999999988</v>
      </c>
    </row>
    <row r="49" spans="1:18" x14ac:dyDescent="0.4">
      <c r="A49" s="4">
        <v>2721</v>
      </c>
      <c r="B49" s="4" t="s">
        <v>48</v>
      </c>
      <c r="C49" s="8">
        <v>36193.610000000015</v>
      </c>
      <c r="D49" s="5" t="s">
        <v>58</v>
      </c>
      <c r="E49" s="8">
        <v>141433.38999999998</v>
      </c>
      <c r="F49" s="14">
        <v>171674.96</v>
      </c>
      <c r="G49" s="14">
        <v>10316.299999999999</v>
      </c>
      <c r="H49" s="14">
        <f>ROUND(Tabela13[[#This Row],[RSF 2023
]]*$G$46/Tabela13[[#Totals],[RSF 2023
]],2)+Tabela13[[#This Row],[RSF 2023
]]</f>
        <v>10316.679999999998</v>
      </c>
      <c r="I49" s="14">
        <v>161358.66</v>
      </c>
      <c r="J49" s="14">
        <f>ROUND(I49*'2024-PREGLED'!$E$11/'2024-PREGLED'!$E$10,2)</f>
        <v>169729.85</v>
      </c>
      <c r="K49" s="14">
        <f>ROUND(Tabela13[[#This Row],[Izravnava nesorazmerij total (sklep 15.7.2022)]]*'2024-PREGLED'!$E$18/'2024-PREGLED'!$E$21,2)</f>
        <v>4320.76</v>
      </c>
      <c r="L49" s="14">
        <f>Tabela13[[#This Row],[(ISF-O + PSF-O)2024 po ZZrID 25/1]]+Tabela13[[#This Row],[Izravnava nesorazmerij 2024 po ZZrID 103/9]]</f>
        <v>174050.61000000002</v>
      </c>
      <c r="M49" s="14">
        <f>Tabela13[[#This Row],[(ISF-O + PSF-O)2024
]]+Tabela13[[#This Row],[RSF 2024
]]</f>
        <v>184367.29</v>
      </c>
      <c r="N49" s="14">
        <f>Tabela13[[#This Row],[(ISF-O + PSF-O)2024
]]-Tabela13[[#This Row],[(ISF-O + PSF-O)2023
]]</f>
        <v>12691.950000000012</v>
      </c>
      <c r="O49" s="26">
        <f>Tabela13[[#This Row],[RSF 2024
]]/Tabela13[[#This Row],[(ISF-O + PSF-O)2024 po ZZrID 25/1]]</f>
        <v>6.0782944190429664E-2</v>
      </c>
      <c r="P49" s="27">
        <f>Tabela13[[#This Row],[(ISF-O + PSF-O)2024 po ZZrID 25/1]]/Tabela13[[#This Row],[(ISF-O + PSF-O)2023
]]</f>
        <v>1.0518793971144778</v>
      </c>
      <c r="Q49" s="27">
        <f>IF(Tabela13[[#This Row],[MATIČNA RO vsaj enemu RPROG]]="DA",Tabela13[[#This Row],[Izravnava nesorazmerij 2024 po ZZrID 103/9]]/Tabela13[[#This Row],[Izravnava nesorazmerij total (sklep 15.7.2022)]],"-")</f>
        <v>0.11937908376644381</v>
      </c>
      <c r="R49" s="9">
        <f>Tabela13[[#This Row],[Stabilno financiranje 2024]]-Tabela13[[#This Row],[Stabilno financiranje 2023
=G+I]]</f>
        <v>12692.330000000016</v>
      </c>
    </row>
    <row r="50" spans="1:18" x14ac:dyDescent="0.4">
      <c r="A50" s="4">
        <v>2782</v>
      </c>
      <c r="B50" s="4" t="s">
        <v>49</v>
      </c>
      <c r="C50" s="8">
        <v>0</v>
      </c>
      <c r="D50" s="5" t="s">
        <v>59</v>
      </c>
      <c r="E50" s="8">
        <v>130687.02</v>
      </c>
      <c r="F50" s="14">
        <v>151916.24</v>
      </c>
      <c r="G50" s="14">
        <v>9128.9599999999991</v>
      </c>
      <c r="H50" s="14">
        <f>ROUND(Tabela13[[#This Row],[RSF 2023
]]*$G$46/Tabela13[[#Totals],[RSF 2023
]],2)+Tabela13[[#This Row],[RSF 2023
]]</f>
        <v>9129.2899999999991</v>
      </c>
      <c r="I50" s="14">
        <v>142787.28</v>
      </c>
      <c r="J50" s="14">
        <f>ROUND(I50*'2024-PREGLED'!$E$11/'2024-PREGLED'!$E$10,2)</f>
        <v>150195</v>
      </c>
      <c r="K50" s="14">
        <f>ROUND(Tabela13[[#This Row],[Izravnava nesorazmerij total (sklep 15.7.2022)]]*'2024-PREGLED'!$E$18/'2024-PREGLED'!$E$21,2)</f>
        <v>0</v>
      </c>
      <c r="L50" s="14">
        <f>Tabela13[[#This Row],[(ISF-O + PSF-O)2024 po ZZrID 25/1]]+Tabela13[[#This Row],[Izravnava nesorazmerij 2024 po ZZrID 103/9]]</f>
        <v>150195</v>
      </c>
      <c r="M50" s="14">
        <f>Tabela13[[#This Row],[(ISF-O + PSF-O)2024
]]+Tabela13[[#This Row],[RSF 2024
]]</f>
        <v>159324.29</v>
      </c>
      <c r="N50" s="14">
        <f>Tabela13[[#This Row],[(ISF-O + PSF-O)2024
]]-Tabela13[[#This Row],[(ISF-O + PSF-O)2023
]]</f>
        <v>7407.7200000000012</v>
      </c>
      <c r="O50" s="26">
        <f>Tabela13[[#This Row],[RSF 2024
]]/Tabela13[[#This Row],[(ISF-O + PSF-O)2024 po ZZrID 25/1]]</f>
        <v>6.0782915543127258E-2</v>
      </c>
      <c r="P50" s="27">
        <f>Tabela13[[#This Row],[(ISF-O + PSF-O)2024 po ZZrID 25/1]]/Tabela13[[#This Row],[(ISF-O + PSF-O)2023
]]</f>
        <v>1.0518794111072078</v>
      </c>
      <c r="Q50" s="27" t="str">
        <f>IF(Tabela13[[#This Row],[MATIČNA RO vsaj enemu RPROG]]="DA",Tabela13[[#This Row],[Izravnava nesorazmerij 2024 po ZZrID 103/9]]/Tabela13[[#This Row],[Izravnava nesorazmerij total (sklep 15.7.2022)]],"-")</f>
        <v>-</v>
      </c>
      <c r="R50" s="9">
        <f>Tabela13[[#This Row],[Stabilno financiranje 2024]]-Tabela13[[#This Row],[Stabilno financiranje 2023
=G+I]]</f>
        <v>7408.0500000000175</v>
      </c>
    </row>
    <row r="51" spans="1:18" x14ac:dyDescent="0.4">
      <c r="A51" s="4">
        <v>2784</v>
      </c>
      <c r="B51" s="4" t="s">
        <v>50</v>
      </c>
      <c r="C51" s="8">
        <v>5903.1999999999534</v>
      </c>
      <c r="D51" s="5" t="s">
        <v>58</v>
      </c>
      <c r="E51" s="8">
        <v>451228.75000000006</v>
      </c>
      <c r="F51" s="14">
        <v>525713.01</v>
      </c>
      <c r="G51" s="14">
        <v>31591.18</v>
      </c>
      <c r="H51" s="14">
        <f>ROUND(Tabela13[[#This Row],[RSF 2023
]]*$G$46/Tabela13[[#Totals],[RSF 2023
]],2)+Tabela13[[#This Row],[RSF 2023
]]</f>
        <v>31592.33</v>
      </c>
      <c r="I51" s="14">
        <v>494121.82999999996</v>
      </c>
      <c r="J51" s="14">
        <f>ROUND(I51*'2024-PREGLED'!$E$11/'2024-PREGLED'!$E$10,2)</f>
        <v>519756.58</v>
      </c>
      <c r="K51" s="14">
        <f>ROUND(Tabela13[[#This Row],[Izravnava nesorazmerij total (sklep 15.7.2022)]]*'2024-PREGLED'!$E$18/'2024-PREGLED'!$E$21,2)</f>
        <v>704.72</v>
      </c>
      <c r="L51" s="14">
        <f>Tabela13[[#This Row],[(ISF-O + PSF-O)2024 po ZZrID 25/1]]+Tabela13[[#This Row],[Izravnava nesorazmerij 2024 po ZZrID 103/9]]</f>
        <v>520461.3</v>
      </c>
      <c r="M51" s="14">
        <f>Tabela13[[#This Row],[(ISF-O + PSF-O)2024
]]+Tabela13[[#This Row],[RSF 2024
]]</f>
        <v>552053.63</v>
      </c>
      <c r="N51" s="14">
        <f>Tabela13[[#This Row],[(ISF-O + PSF-O)2024
]]-Tabela13[[#This Row],[(ISF-O + PSF-O)2023
]]</f>
        <v>26339.47000000003</v>
      </c>
      <c r="O51" s="26">
        <f>Tabela13[[#This Row],[RSF 2024
]]/Tabela13[[#This Row],[(ISF-O + PSF-O)2024 po ZZrID 25/1]]</f>
        <v>6.0782934195849909E-2</v>
      </c>
      <c r="P51" s="27">
        <f>Tabela13[[#This Row],[(ISF-O + PSF-O)2024 po ZZrID 25/1]]/Tabela13[[#This Row],[(ISF-O + PSF-O)2023
]]</f>
        <v>1.0518794120065491</v>
      </c>
      <c r="Q51" s="27">
        <f>IF(Tabela13[[#This Row],[MATIČNA RO vsaj enemu RPROG]]="DA",Tabela13[[#This Row],[Izravnava nesorazmerij 2024 po ZZrID 103/9]]/Tabela13[[#This Row],[Izravnava nesorazmerij total (sklep 15.7.2022)]],"-")</f>
        <v>0.11937931969101599</v>
      </c>
      <c r="R51" s="9">
        <f>Tabela13[[#This Row],[Stabilno financiranje 2024]]-Tabela13[[#This Row],[Stabilno financiranje 2023
=G+I]]</f>
        <v>26340.619999999995</v>
      </c>
    </row>
    <row r="52" spans="1:18" x14ac:dyDescent="0.4">
      <c r="A52" s="4">
        <v>2885</v>
      </c>
      <c r="B52" s="4" t="s">
        <v>51</v>
      </c>
      <c r="C52" s="8">
        <v>0</v>
      </c>
      <c r="D52" s="5" t="s">
        <v>59</v>
      </c>
      <c r="E52" s="8">
        <v>34337.360000000001</v>
      </c>
      <c r="F52" s="14">
        <v>39915.229999999996</v>
      </c>
      <c r="G52" s="14">
        <v>2398.59</v>
      </c>
      <c r="H52" s="14">
        <f>ROUND(Tabela13[[#This Row],[RSF 2023
]]*$G$46/Tabela13[[#Totals],[RSF 2023
]],2)+Tabela13[[#This Row],[RSF 2023
]]</f>
        <v>2398.6800000000003</v>
      </c>
      <c r="I52" s="14">
        <v>37516.639999999999</v>
      </c>
      <c r="J52" s="14">
        <f>ROUND(I52*'2024-PREGLED'!$E$11/'2024-PREGLED'!$E$10,2)</f>
        <v>39462.980000000003</v>
      </c>
      <c r="K52" s="14">
        <f>ROUND(Tabela13[[#This Row],[Izravnava nesorazmerij total (sklep 15.7.2022)]]*'2024-PREGLED'!$E$18/'2024-PREGLED'!$E$21,2)</f>
        <v>0</v>
      </c>
      <c r="L52" s="14">
        <f>Tabela13[[#This Row],[(ISF-O + PSF-O)2024 po ZZrID 25/1]]+Tabela13[[#This Row],[Izravnava nesorazmerij 2024 po ZZrID 103/9]]</f>
        <v>39462.980000000003</v>
      </c>
      <c r="M52" s="14">
        <f>Tabela13[[#This Row],[(ISF-O + PSF-O)2024
]]+Tabela13[[#This Row],[RSF 2024
]]</f>
        <v>41861.660000000003</v>
      </c>
      <c r="N52" s="14">
        <f>Tabela13[[#This Row],[(ISF-O + PSF-O)2024
]]-Tabela13[[#This Row],[(ISF-O + PSF-O)2023
]]</f>
        <v>1946.3400000000038</v>
      </c>
      <c r="O52" s="26">
        <f>Tabela13[[#This Row],[RSF 2024
]]/Tabela13[[#This Row],[(ISF-O + PSF-O)2024 po ZZrID 25/1]]</f>
        <v>6.0783042740310038E-2</v>
      </c>
      <c r="P52" s="27">
        <f>Tabela13[[#This Row],[(ISF-O + PSF-O)2024 po ZZrID 25/1]]/Tabela13[[#This Row],[(ISF-O + PSF-O)2023
]]</f>
        <v>1.051879379390052</v>
      </c>
      <c r="Q52" s="27" t="str">
        <f>IF(Tabela13[[#This Row],[MATIČNA RO vsaj enemu RPROG]]="DA",Tabela13[[#This Row],[Izravnava nesorazmerij 2024 po ZZrID 103/9]]/Tabela13[[#This Row],[Izravnava nesorazmerij total (sklep 15.7.2022)]],"-")</f>
        <v>-</v>
      </c>
      <c r="R52" s="9">
        <f>Tabela13[[#This Row],[Stabilno financiranje 2024]]-Tabela13[[#This Row],[Stabilno financiranje 2023
=G+I]]</f>
        <v>1946.4300000000076</v>
      </c>
    </row>
    <row r="53" spans="1:18" x14ac:dyDescent="0.4">
      <c r="A53" s="4">
        <v>3018</v>
      </c>
      <c r="B53" s="4" t="s">
        <v>52</v>
      </c>
      <c r="C53" s="8">
        <v>218386.74</v>
      </c>
      <c r="D53" s="5" t="s">
        <v>58</v>
      </c>
      <c r="E53" s="8">
        <v>308539.24</v>
      </c>
      <c r="F53" s="14">
        <v>402505.31000000006</v>
      </c>
      <c r="G53" s="14">
        <v>24187.38</v>
      </c>
      <c r="H53" s="14">
        <f>ROUND(Tabela13[[#This Row],[RSF 2023
]]*$G$46/Tabela13[[#Totals],[RSF 2023
]],2)+Tabela13[[#This Row],[RSF 2023
]]</f>
        <v>24188.260000000002</v>
      </c>
      <c r="I53" s="14">
        <v>378317.93000000005</v>
      </c>
      <c r="J53" s="14">
        <f>ROUND(I53*'2024-PREGLED'!$E$11/'2024-PREGLED'!$E$10,2)</f>
        <v>397944.84</v>
      </c>
      <c r="K53" s="14">
        <f>ROUND(Tabela13[[#This Row],[Izravnava nesorazmerij total (sklep 15.7.2022)]]*'2024-PREGLED'!$E$18/'2024-PREGLED'!$E$21,2)</f>
        <v>26070.799999999999</v>
      </c>
      <c r="L53" s="14">
        <f>Tabela13[[#This Row],[(ISF-O + PSF-O)2024 po ZZrID 25/1]]+Tabela13[[#This Row],[Izravnava nesorazmerij 2024 po ZZrID 103/9]]</f>
        <v>424015.64</v>
      </c>
      <c r="M53" s="14">
        <f>Tabela13[[#This Row],[(ISF-O + PSF-O)2024
]]+Tabela13[[#This Row],[RSF 2024
]]</f>
        <v>448203.9</v>
      </c>
      <c r="N53" s="14">
        <f>Tabela13[[#This Row],[(ISF-O + PSF-O)2024
]]-Tabela13[[#This Row],[(ISF-O + PSF-O)2023
]]</f>
        <v>45697.709999999963</v>
      </c>
      <c r="O53" s="26">
        <f>Tabela13[[#This Row],[RSF 2024
]]/Tabela13[[#This Row],[(ISF-O + PSF-O)2024 po ZZrID 25/1]]</f>
        <v>6.0782946701859485E-2</v>
      </c>
      <c r="P53" s="27">
        <f>Tabela13[[#This Row],[(ISF-O + PSF-O)2024 po ZZrID 25/1]]/Tabela13[[#This Row],[(ISF-O + PSF-O)2023
]]</f>
        <v>1.0518794073545497</v>
      </c>
      <c r="Q53" s="27">
        <f>IF(Tabela13[[#This Row],[MATIČNA RO vsaj enemu RPROG]]="DA",Tabela13[[#This Row],[Izravnava nesorazmerij 2024 po ZZrID 103/9]]/Tabela13[[#This Row],[Izravnava nesorazmerij total (sklep 15.7.2022)]],"-")</f>
        <v>0.1193790428851129</v>
      </c>
      <c r="R53" s="9">
        <f>Tabela13[[#This Row],[Stabilno financiranje 2024]]-Tabela13[[#This Row],[Stabilno financiranje 2023
=G+I]]</f>
        <v>45698.589999999967</v>
      </c>
    </row>
    <row r="54" spans="1:18" x14ac:dyDescent="0.4">
      <c r="A54" s="4">
        <v>3030</v>
      </c>
      <c r="B54" s="4" t="s">
        <v>53</v>
      </c>
      <c r="C54" s="8">
        <v>0</v>
      </c>
      <c r="D54" s="5" t="s">
        <v>59</v>
      </c>
      <c r="E54" s="8">
        <v>42343.67</v>
      </c>
      <c r="F54" s="14">
        <v>49222.11</v>
      </c>
      <c r="G54" s="14">
        <v>2957.86</v>
      </c>
      <c r="H54" s="14">
        <f>ROUND(Tabela13[[#This Row],[RSF 2023
]]*$G$46/Tabela13[[#Totals],[RSF 2023
]],2)+Tabela13[[#This Row],[RSF 2023
]]</f>
        <v>2957.9700000000003</v>
      </c>
      <c r="I54" s="14">
        <v>46264.25</v>
      </c>
      <c r="J54" s="14">
        <f>ROUND(I54*'2024-PREGLED'!$E$11/'2024-PREGLED'!$E$10,2)</f>
        <v>48664.41</v>
      </c>
      <c r="K54" s="14">
        <f>ROUND(Tabela13[[#This Row],[Izravnava nesorazmerij total (sklep 15.7.2022)]]*'2024-PREGLED'!$E$18/'2024-PREGLED'!$E$21,2)</f>
        <v>0</v>
      </c>
      <c r="L54" s="14">
        <f>Tabela13[[#This Row],[(ISF-O + PSF-O)2024 po ZZrID 25/1]]+Tabela13[[#This Row],[Izravnava nesorazmerij 2024 po ZZrID 103/9]]</f>
        <v>48664.41</v>
      </c>
      <c r="M54" s="14">
        <f>Tabela13[[#This Row],[(ISF-O + PSF-O)2024
]]+Tabela13[[#This Row],[RSF 2024
]]</f>
        <v>51622.380000000005</v>
      </c>
      <c r="N54" s="14">
        <f>Tabela13[[#This Row],[(ISF-O + PSF-O)2024
]]-Tabela13[[#This Row],[(ISF-O + PSF-O)2023
]]</f>
        <v>2400.1600000000035</v>
      </c>
      <c r="O54" s="26">
        <f>Tabela13[[#This Row],[RSF 2024
]]/Tabela13[[#This Row],[(ISF-O + PSF-O)2024 po ZZrID 25/1]]</f>
        <v>6.0783023979947566E-2</v>
      </c>
      <c r="P54" s="27">
        <f>Tabela13[[#This Row],[(ISF-O + PSF-O)2024 po ZZrID 25/1]]/Tabela13[[#This Row],[(ISF-O + PSF-O)2023
]]</f>
        <v>1.0518793668977666</v>
      </c>
      <c r="Q54" s="27" t="str">
        <f>IF(Tabela13[[#This Row],[MATIČNA RO vsaj enemu RPROG]]="DA",Tabela13[[#This Row],[Izravnava nesorazmerij 2024 po ZZrID 103/9]]/Tabela13[[#This Row],[Izravnava nesorazmerij total (sklep 15.7.2022)]],"-")</f>
        <v>-</v>
      </c>
      <c r="R54" s="9">
        <f>Tabela13[[#This Row],[Stabilno financiranje 2024]]-Tabela13[[#This Row],[Stabilno financiranje 2023
=G+I]]</f>
        <v>2400.2700000000041</v>
      </c>
    </row>
    <row r="55" spans="1:18" x14ac:dyDescent="0.4">
      <c r="A55" s="4">
        <v>3333</v>
      </c>
      <c r="B55" s="4" t="s">
        <v>54</v>
      </c>
      <c r="C55" s="8">
        <v>322791.27999999997</v>
      </c>
      <c r="D55" s="5" t="s">
        <v>58</v>
      </c>
      <c r="E55" s="8">
        <v>334322.45999999996</v>
      </c>
      <c r="F55" s="14">
        <v>453438.36</v>
      </c>
      <c r="G55" s="14">
        <v>27248.05</v>
      </c>
      <c r="H55" s="14">
        <f>ROUND(Tabela13[[#This Row],[RSF 2023
]]*$G$46/Tabela13[[#Totals],[RSF 2023
]],2)+Tabela13[[#This Row],[RSF 2023
]]</f>
        <v>27249.040000000001</v>
      </c>
      <c r="I55" s="14">
        <v>426190.31</v>
      </c>
      <c r="J55" s="14">
        <f>ROUND(I55*'2024-PREGLED'!$E$11/'2024-PREGLED'!$E$10,2)</f>
        <v>448300.81</v>
      </c>
      <c r="K55" s="14">
        <f>ROUND(Tabela13[[#This Row],[Izravnava nesorazmerij total (sklep 15.7.2022)]]*'2024-PREGLED'!$E$18/'2024-PREGLED'!$E$21,2)</f>
        <v>38534.519999999997</v>
      </c>
      <c r="L55" s="14">
        <f>Tabela13[[#This Row],[(ISF-O + PSF-O)2024 po ZZrID 25/1]]+Tabela13[[#This Row],[Izravnava nesorazmerij 2024 po ZZrID 103/9]]</f>
        <v>486835.33</v>
      </c>
      <c r="M55" s="14">
        <f>Tabela13[[#This Row],[(ISF-O + PSF-O)2024
]]+Tabela13[[#This Row],[RSF 2024
]]</f>
        <v>514084.37</v>
      </c>
      <c r="N55" s="14">
        <f>Tabela13[[#This Row],[(ISF-O + PSF-O)2024
]]-Tabela13[[#This Row],[(ISF-O + PSF-O)2023
]]</f>
        <v>60645.020000000019</v>
      </c>
      <c r="O55" s="26">
        <f>Tabela13[[#This Row],[RSF 2024
]]/Tabela13[[#This Row],[(ISF-O + PSF-O)2024 po ZZrID 25/1]]</f>
        <v>6.0782937242518036E-2</v>
      </c>
      <c r="P55" s="27">
        <f>Tabela13[[#This Row],[(ISF-O + PSF-O)2024 po ZZrID 25/1]]/Tabela13[[#This Row],[(ISF-O + PSF-O)2023
]]</f>
        <v>1.0518794057049303</v>
      </c>
      <c r="Q55" s="27">
        <f>IF(Tabela13[[#This Row],[MATIČNA RO vsaj enemu RPROG]]="DA",Tabela13[[#This Row],[Izravnava nesorazmerij 2024 po ZZrID 103/9]]/Tabela13[[#This Row],[Izravnava nesorazmerij total (sklep 15.7.2022)]],"-")</f>
        <v>0.11937906129310556</v>
      </c>
      <c r="R55" s="9">
        <f>Tabela13[[#This Row],[Stabilno financiranje 2024]]-Tabela13[[#This Row],[Stabilno financiranje 2023
=G+I]]</f>
        <v>60646.010000000009</v>
      </c>
    </row>
    <row r="56" spans="1:18" x14ac:dyDescent="0.4">
      <c r="A56" s="4">
        <v>3334</v>
      </c>
      <c r="B56" s="4" t="s">
        <v>55</v>
      </c>
      <c r="C56" s="8">
        <v>51277.160000000033</v>
      </c>
      <c r="D56" s="5" t="s">
        <v>58</v>
      </c>
      <c r="E56" s="8">
        <v>272816.5</v>
      </c>
      <c r="F56" s="14">
        <v>327428.71999999997</v>
      </c>
      <c r="G56" s="14">
        <v>19675.87</v>
      </c>
      <c r="H56" s="14">
        <f>ROUND(Tabela13[[#This Row],[RSF 2023
]]*$G$46/Tabela13[[#Totals],[RSF 2023
]],2)+Tabela13[[#This Row],[RSF 2023
]]</f>
        <v>19676.59</v>
      </c>
      <c r="I56" s="14">
        <v>307752.84999999998</v>
      </c>
      <c r="J56" s="14">
        <f>ROUND(I56*'2024-PREGLED'!$E$11/'2024-PREGLED'!$E$10,2)</f>
        <v>323718.89</v>
      </c>
      <c r="K56" s="14">
        <f>ROUND(Tabela13[[#This Row],[Izravnava nesorazmerij total (sklep 15.7.2022)]]*'2024-PREGLED'!$E$18/'2024-PREGLED'!$E$21,2)</f>
        <v>6121.42</v>
      </c>
      <c r="L56" s="14">
        <f>Tabela13[[#This Row],[(ISF-O + PSF-O)2024 po ZZrID 25/1]]+Tabela13[[#This Row],[Izravnava nesorazmerij 2024 po ZZrID 103/9]]</f>
        <v>329840.31</v>
      </c>
      <c r="M56" s="14">
        <f>Tabela13[[#This Row],[(ISF-O + PSF-O)2024
]]+Tabela13[[#This Row],[RSF 2024
]]</f>
        <v>349516.9</v>
      </c>
      <c r="N56" s="14">
        <f>Tabela13[[#This Row],[(ISF-O + PSF-O)2024
]]-Tabela13[[#This Row],[(ISF-O + PSF-O)2023
]]</f>
        <v>22087.460000000021</v>
      </c>
      <c r="O56" s="26">
        <f>Tabela13[[#This Row],[RSF 2024
]]/Tabela13[[#This Row],[(ISF-O + PSF-O)2024 po ZZrID 25/1]]</f>
        <v>6.0782952764974571E-2</v>
      </c>
      <c r="P56" s="27">
        <f>Tabela13[[#This Row],[(ISF-O + PSF-O)2024 po ZZrID 25/1]]/Tabela13[[#This Row],[(ISF-O + PSF-O)2023
]]</f>
        <v>1.0518794220752141</v>
      </c>
      <c r="Q56" s="27">
        <f>IF(Tabela13[[#This Row],[MATIČNA RO vsaj enemu RPROG]]="DA",Tabela13[[#This Row],[Izravnava nesorazmerij 2024 po ZZrID 103/9]]/Tabela13[[#This Row],[Izravnava nesorazmerij total (sklep 15.7.2022)]],"-")</f>
        <v>0.1193790763763047</v>
      </c>
      <c r="R56" s="9">
        <f>Tabela13[[#This Row],[Stabilno financiranje 2024]]-Tabela13[[#This Row],[Stabilno financiranje 2023
=G+I]]</f>
        <v>22088.180000000051</v>
      </c>
    </row>
    <row r="57" spans="1:18" x14ac:dyDescent="0.4">
      <c r="A57" s="4">
        <v>3344</v>
      </c>
      <c r="B57" s="4" t="s">
        <v>56</v>
      </c>
      <c r="C57" s="8">
        <v>190609.68</v>
      </c>
      <c r="D57" s="5" t="s">
        <v>58</v>
      </c>
      <c r="E57" s="8">
        <v>258346.93000000002</v>
      </c>
      <c r="F57" s="14">
        <v>338582.75</v>
      </c>
      <c r="G57" s="14">
        <v>20346.14</v>
      </c>
      <c r="H57" s="14">
        <f>ROUND(Tabela13[[#This Row],[RSF 2023
]]*$G$46/Tabela13[[#Totals],[RSF 2023
]],2)+Tabela13[[#This Row],[RSF 2023
]]</f>
        <v>20346.88</v>
      </c>
      <c r="I57" s="14">
        <v>318236.61</v>
      </c>
      <c r="J57" s="14">
        <f>ROUND(I57*'2024-PREGLED'!$E$11/'2024-PREGLED'!$E$10,2)</f>
        <v>334746.53999999998</v>
      </c>
      <c r="K57" s="14">
        <f>ROUND(Tabela13[[#This Row],[Izravnava nesorazmerij total (sklep 15.7.2022)]]*'2024-PREGLED'!$E$18/'2024-PREGLED'!$E$21,2)</f>
        <v>22754.81</v>
      </c>
      <c r="L57" s="14">
        <f>Tabela13[[#This Row],[(ISF-O + PSF-O)2024 po ZZrID 25/1]]+Tabela13[[#This Row],[Izravnava nesorazmerij 2024 po ZZrID 103/9]]</f>
        <v>357501.35</v>
      </c>
      <c r="M57" s="14">
        <f>Tabela13[[#This Row],[(ISF-O + PSF-O)2024
]]+Tabela13[[#This Row],[RSF 2024
]]</f>
        <v>377848.23</v>
      </c>
      <c r="N57" s="14">
        <f>Tabela13[[#This Row],[(ISF-O + PSF-O)2024
]]-Tabela13[[#This Row],[(ISF-O + PSF-O)2023
]]</f>
        <v>39264.739999999991</v>
      </c>
      <c r="O57" s="26">
        <f>Tabela13[[#This Row],[RSF 2024
]]/Tabela13[[#This Row],[(ISF-O + PSF-O)2024 po ZZrID 25/1]]</f>
        <v>6.0782943417428612E-2</v>
      </c>
      <c r="P57" s="27">
        <f>Tabela13[[#This Row],[(ISF-O + PSF-O)2024 po ZZrID 25/1]]/Tabela13[[#This Row],[(ISF-O + PSF-O)2023
]]</f>
        <v>1.051879417644626</v>
      </c>
      <c r="Q57" s="27">
        <f>IF(Tabela13[[#This Row],[MATIČNA RO vsaj enemu RPROG]]="DA",Tabela13[[#This Row],[Izravnava nesorazmerij 2024 po ZZrID 103/9]]/Tabela13[[#This Row],[Izravnava nesorazmerij total (sklep 15.7.2022)]],"-")</f>
        <v>0.11937908924667416</v>
      </c>
      <c r="R57" s="9">
        <f>Tabela13[[#This Row],[Stabilno financiranje 2024]]-Tabela13[[#This Row],[Stabilno financiranje 2023
=G+I]]</f>
        <v>39265.479999999981</v>
      </c>
    </row>
    <row r="58" spans="1:18" x14ac:dyDescent="0.4">
      <c r="A58" s="16" t="s">
        <v>64</v>
      </c>
      <c r="B58" s="16"/>
      <c r="C58" s="24">
        <f>SUBTOTAL(109,Tabela13[Izravnava nesorazmerij total (sklep 15.7.2022)])</f>
        <v>29828890.000000004</v>
      </c>
      <c r="D58" s="16"/>
      <c r="E58" s="41">
        <f>SUBTOTAL(109,Tabela13[Stabilno financiranje 2022
])</f>
        <v>182383097.35999995</v>
      </c>
      <c r="F58" s="1">
        <f>SUBTOTAL(109,Tabela13[Stabilno financiranje 2023
=G+I])</f>
        <v>219024089.04000011</v>
      </c>
      <c r="G58" s="1">
        <f>SUBTOTAL(109,Tabela13[RSF 2023
])</f>
        <v>13099999.999999993</v>
      </c>
      <c r="H58" s="6">
        <f>SUBTOTAL(109,Tabela13[RSF 2024
])</f>
        <v>13099999.999999998</v>
      </c>
      <c r="I58" s="1">
        <f>SUBTOTAL(109,Tabela13[(ISF-O + PSF-O)2023
])</f>
        <v>205924089.04000002</v>
      </c>
      <c r="J58" s="14">
        <f>SUBTOTAL(109,Tabela13[(ISF-O + PSF-O)2024 po ZZrID 25/1])</f>
        <v>216599472.13</v>
      </c>
      <c r="K58" s="14">
        <f>SUBTOTAL(109,Tabela13[Izravnava nesorazmerij 2024 po ZZrID 103/9])</f>
        <v>3560944.9999999991</v>
      </c>
      <c r="L58" s="7">
        <f>SUBTOTAL(109,Tabela13[(ISF-O + PSF-O)2024
])</f>
        <v>220160417.13</v>
      </c>
      <c r="M58" s="14">
        <f>SUBTOTAL(109,Tabela13[Stabilno financiranje 2024])</f>
        <v>233260417.13000003</v>
      </c>
      <c r="N58" s="14">
        <f>SUBTOTAL(109,Tabela13[Prirast sredstev za ISF+PSF 2024])</f>
        <v>14243780.010000011</v>
      </c>
      <c r="O58" s="26">
        <f>SUBTOTAL(101,Tabela13[kontrola
Delež RSF v ISF+PSF])</f>
        <v>6.0627078890263024E-2</v>
      </c>
      <c r="P58" s="27">
        <f>SUBTOTAL(101,Tabela13[kontrola ISF+PSF brez nesor.])</f>
        <v>1.0518794125112583</v>
      </c>
      <c r="Q58" s="27">
        <f>SUBTOTAL(101,Tabela13[kontrola izravnave nesoraz.])</f>
        <v>0.11937905697133705</v>
      </c>
      <c r="R58" s="9">
        <f>SUBTOTAL(109,Tabela13[Prirast stabilnega financiranja])</f>
        <v>14244256.440000009</v>
      </c>
    </row>
    <row r="59" spans="1:18" x14ac:dyDescent="0.4">
      <c r="A59" s="3"/>
      <c r="B59" s="33" t="s">
        <v>76</v>
      </c>
      <c r="C59" s="23"/>
      <c r="D59" s="5"/>
      <c r="E59" s="1"/>
      <c r="F59" s="1"/>
      <c r="G59" s="1"/>
      <c r="H59" s="14"/>
      <c r="I59" s="14"/>
      <c r="J59" s="14"/>
      <c r="K59" s="14"/>
      <c r="L59" s="14"/>
      <c r="N59" s="14"/>
      <c r="O59" s="14"/>
      <c r="Q59" s="27"/>
    </row>
    <row r="60" spans="1:18" x14ac:dyDescent="0.4">
      <c r="A60" s="15" t="s">
        <v>60</v>
      </c>
      <c r="B60" s="15" t="s">
        <v>60</v>
      </c>
      <c r="C60" s="42">
        <f t="shared" ref="C60:N60" si="0">SUM(C2:C57)</f>
        <v>29828890.000000004</v>
      </c>
      <c r="E60" s="40">
        <f>SUM(E2:E57)-E46</f>
        <v>182376276.93999997</v>
      </c>
      <c r="F60" s="40">
        <f>SUM(F2:F57)-F46</f>
        <v>219016160.69000012</v>
      </c>
      <c r="G60" s="40">
        <f>SUM(G2:G57)-G46</f>
        <v>13099523.569999993</v>
      </c>
      <c r="H60" s="40">
        <f t="shared" si="0"/>
        <v>13099999.999999998</v>
      </c>
      <c r="I60" s="40">
        <f>SUM(I2:I57)-I46</f>
        <v>205916637.12000003</v>
      </c>
      <c r="J60" s="6">
        <f t="shared" si="0"/>
        <v>216599472.13</v>
      </c>
      <c r="K60" s="6">
        <f t="shared" si="0"/>
        <v>3560944.9999999991</v>
      </c>
      <c r="L60" s="6">
        <f t="shared" si="0"/>
        <v>220160417.13</v>
      </c>
      <c r="M60" s="6">
        <f t="shared" si="0"/>
        <v>233260417.13000003</v>
      </c>
      <c r="N60" s="6">
        <f t="shared" si="0"/>
        <v>14243780.010000011</v>
      </c>
      <c r="O60" s="6"/>
      <c r="Q60" s="27"/>
      <c r="R60" s="6">
        <f t="shared" ref="R60" si="1">SUM(R2:R57)</f>
        <v>14244256.440000009</v>
      </c>
    </row>
    <row r="61" spans="1:18" x14ac:dyDescent="0.4">
      <c r="A61" s="16" t="s">
        <v>61</v>
      </c>
      <c r="B61" s="16" t="s">
        <v>61</v>
      </c>
      <c r="C61" s="8">
        <v>29828890</v>
      </c>
      <c r="E61" s="1"/>
      <c r="F61" s="1">
        <f>F60-'2024-PREGLED'!E5</f>
        <v>0</v>
      </c>
      <c r="G61" s="1"/>
      <c r="H61" s="14">
        <f>Tabela13[[#Totals],[RSF 2024
]]-'2024-PREGLED'!E15</f>
        <v>0</v>
      </c>
      <c r="I61" s="6">
        <v>205916637.12000003</v>
      </c>
      <c r="J61" s="14">
        <f>'2024-PREGLED'!E11-J60</f>
        <v>0</v>
      </c>
      <c r="K61" s="6">
        <f>K60-'2024-PREGLED'!E23</f>
        <v>0</v>
      </c>
      <c r="L61" s="14">
        <f>'2024-PREGLED'!E12-L60</f>
        <v>0</v>
      </c>
      <c r="M61" s="28">
        <f>'2024-PREGLED'!E7-M60</f>
        <v>0</v>
      </c>
      <c r="N61" s="28">
        <f>N60-'2024-PREGLED'!G12</f>
        <v>2.0489096641540527E-8</v>
      </c>
      <c r="O61" s="14"/>
      <c r="Q61" s="27"/>
      <c r="R61" s="27">
        <f>'2024-PREGLED'!E6-'2024 IZRAČUN'!R60</f>
        <v>0</v>
      </c>
    </row>
    <row r="62" spans="1:18" x14ac:dyDescent="0.4">
      <c r="B62" t="s">
        <v>67</v>
      </c>
      <c r="C62" s="9">
        <f t="shared" ref="C62" si="2">C61-C60</f>
        <v>0</v>
      </c>
      <c r="D62" s="9"/>
      <c r="E62" s="9"/>
      <c r="F62" s="9"/>
      <c r="G62" s="9"/>
      <c r="H62" s="9"/>
      <c r="I62" s="9"/>
      <c r="J62" s="9"/>
      <c r="K62" s="34" t="s">
        <v>75</v>
      </c>
      <c r="L62" s="9"/>
      <c r="N62" s="9"/>
      <c r="O62" s="9"/>
      <c r="P62" s="9"/>
      <c r="Q62" s="9"/>
      <c r="R62" s="9"/>
    </row>
    <row r="63" spans="1:18" x14ac:dyDescent="0.4">
      <c r="E63" s="29"/>
      <c r="F63" s="29"/>
      <c r="G63" s="29"/>
      <c r="H63" s="29"/>
      <c r="J63" s="29"/>
      <c r="L63" s="9"/>
      <c r="N63" s="9"/>
      <c r="O63" s="9"/>
    </row>
    <row r="64" spans="1:18" x14ac:dyDescent="0.4">
      <c r="F64" s="9"/>
      <c r="J64" s="9"/>
    </row>
    <row r="65" spans="14:14" x14ac:dyDescent="0.4">
      <c r="N65" s="69"/>
    </row>
    <row r="66" spans="14:14" x14ac:dyDescent="0.4">
      <c r="N66" s="69"/>
    </row>
  </sheetData>
  <pageMargins left="0.25" right="0.25" top="0.75" bottom="0.75" header="0.3" footer="0.3"/>
  <pageSetup paperSize="8" scale="62" orientation="landscape" r:id="rId1"/>
  <headerFooter>
    <oddHeader>&amp;C&amp;"-,Krepko"Obseg sredstev stabilnega financiranja znanstvenoraziskovalne dejavnosti
 in obseg sredstev za odpravo nesorazmerij v letu 2024 za posamezne prejemnike stabilnega financiranja&amp;RPriloga k sklepu št. 6312-1/2024-12</oddHeader>
  </headerFooter>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C4B96-63AB-46F4-BAA7-0EBD11A654D3}">
  <sheetPr>
    <tabColor rgb="FF92D050"/>
    <pageSetUpPr fitToPage="1"/>
  </sheetPr>
  <dimension ref="B3:I31"/>
  <sheetViews>
    <sheetView workbookViewId="0">
      <selection activeCell="C36" sqref="C36"/>
    </sheetView>
  </sheetViews>
  <sheetFormatPr defaultRowHeight="14.6" x14ac:dyDescent="0.4"/>
  <cols>
    <col min="2" max="2" width="45.15234375" customWidth="1"/>
    <col min="3" max="3" width="15.4609375" customWidth="1"/>
    <col min="4" max="4" width="17" customWidth="1"/>
    <col min="5" max="5" width="16.53515625" customWidth="1"/>
    <col min="6" max="6" width="12.23046875" style="59" customWidth="1"/>
    <col min="7" max="7" width="35.53515625" customWidth="1"/>
    <col min="8" max="8" width="14.84375" bestFit="1" customWidth="1"/>
    <col min="9" max="9" width="12" bestFit="1" customWidth="1"/>
  </cols>
  <sheetData>
    <row r="3" spans="2:9" x14ac:dyDescent="0.4">
      <c r="C3" s="37" t="s">
        <v>107</v>
      </c>
      <c r="D3" s="37" t="s">
        <v>107</v>
      </c>
      <c r="E3" s="37" t="s">
        <v>108</v>
      </c>
      <c r="F3" s="52" t="s">
        <v>112</v>
      </c>
      <c r="G3" s="36"/>
    </row>
    <row r="4" spans="2:9" ht="15" thickBot="1" x14ac:dyDescent="0.45">
      <c r="B4" s="62"/>
      <c r="C4" s="63" t="s">
        <v>63</v>
      </c>
      <c r="D4" s="64" t="s">
        <v>97</v>
      </c>
      <c r="E4" s="65" t="s">
        <v>109</v>
      </c>
      <c r="F4" s="66" t="s">
        <v>113</v>
      </c>
      <c r="G4" s="37" t="s">
        <v>95</v>
      </c>
    </row>
    <row r="5" spans="2:9" x14ac:dyDescent="0.4">
      <c r="B5" s="60" t="s">
        <v>88</v>
      </c>
      <c r="C5" s="61"/>
      <c r="D5" s="61"/>
      <c r="E5" s="61">
        <f>'2024 IZRAČUN'!F60</f>
        <v>219016160.69000012</v>
      </c>
      <c r="F5" s="68" t="s">
        <v>128</v>
      </c>
      <c r="G5" s="36" t="s">
        <v>93</v>
      </c>
    </row>
    <row r="6" spans="2:9" x14ac:dyDescent="0.4">
      <c r="B6" s="43" t="s">
        <v>110</v>
      </c>
      <c r="C6" s="44">
        <f>13057235.07</f>
        <v>13057235.07</v>
      </c>
      <c r="D6" s="44">
        <f>ROUND(C6/11,2)</f>
        <v>1187021.3700000001</v>
      </c>
      <c r="E6" s="44">
        <f>C6+D6</f>
        <v>14244256.440000001</v>
      </c>
      <c r="F6" s="68" t="s">
        <v>129</v>
      </c>
      <c r="G6" s="36" t="s">
        <v>92</v>
      </c>
      <c r="H6">
        <f>D6*12</f>
        <v>14244256.440000001</v>
      </c>
      <c r="I6">
        <f>H6*11/12</f>
        <v>13057235.07</v>
      </c>
    </row>
    <row r="7" spans="2:9" x14ac:dyDescent="0.4">
      <c r="B7" s="43" t="s">
        <v>78</v>
      </c>
      <c r="C7" s="44">
        <f>E7-D7</f>
        <v>214913715.70000011</v>
      </c>
      <c r="D7" s="44">
        <f>ROUND((E7-E15)*1/12,2)</f>
        <v>18346701.43</v>
      </c>
      <c r="E7" s="44">
        <f>E5+E6</f>
        <v>233260417.13000011</v>
      </c>
      <c r="F7" s="68" t="s">
        <v>130</v>
      </c>
      <c r="G7" s="36" t="s">
        <v>94</v>
      </c>
    </row>
    <row r="8" spans="2:9" x14ac:dyDescent="0.4">
      <c r="B8" s="45"/>
      <c r="C8" s="45"/>
      <c r="D8" s="46"/>
      <c r="E8" s="45"/>
      <c r="F8" s="53"/>
      <c r="G8" s="39" t="s">
        <v>96</v>
      </c>
    </row>
    <row r="9" spans="2:9" hidden="1" x14ac:dyDescent="0.4">
      <c r="B9" s="45" t="s">
        <v>91</v>
      </c>
      <c r="C9" s="45"/>
      <c r="D9" s="46"/>
      <c r="E9" s="46">
        <f>C7</f>
        <v>214913715.70000011</v>
      </c>
      <c r="F9" s="54"/>
      <c r="G9">
        <f>D7*12+E15</f>
        <v>233260417.16</v>
      </c>
    </row>
    <row r="10" spans="2:9" x14ac:dyDescent="0.4">
      <c r="B10" s="47" t="s">
        <v>77</v>
      </c>
      <c r="C10" s="45"/>
      <c r="D10" s="46"/>
      <c r="E10" s="46">
        <f>E5-E14</f>
        <v>205916637.12000012</v>
      </c>
      <c r="F10" s="67" t="s">
        <v>120</v>
      </c>
      <c r="G10">
        <f>C7/11-E15/11</f>
        <v>18346701.427272737</v>
      </c>
    </row>
    <row r="11" spans="2:9" x14ac:dyDescent="0.4">
      <c r="B11" s="47" t="s">
        <v>85</v>
      </c>
      <c r="C11" s="45"/>
      <c r="D11" s="46"/>
      <c r="E11" s="46">
        <f>E7-E15-E18</f>
        <v>216599472.13000011</v>
      </c>
      <c r="F11" s="54" t="s">
        <v>121</v>
      </c>
      <c r="G11" s="22"/>
    </row>
    <row r="12" spans="2:9" x14ac:dyDescent="0.4">
      <c r="B12" s="47" t="s">
        <v>105</v>
      </c>
      <c r="C12" s="45"/>
      <c r="D12" s="46"/>
      <c r="E12" s="46">
        <f>E7-E15</f>
        <v>220160417.13000011</v>
      </c>
      <c r="F12" s="54" t="s">
        <v>119</v>
      </c>
      <c r="G12" s="22">
        <f>E12-E10</f>
        <v>14243780.00999999</v>
      </c>
      <c r="H12" s="22"/>
    </row>
    <row r="13" spans="2:9" x14ac:dyDescent="0.4">
      <c r="B13" s="48" t="s">
        <v>127</v>
      </c>
      <c r="C13" s="45"/>
      <c r="D13" s="46"/>
      <c r="E13" s="49">
        <f>ROUND('2024-PREGLED'!$E$11/'2024-PREGLED'!$E$10,10)</f>
        <v>1.0518794166000001</v>
      </c>
      <c r="F13" s="55" t="s">
        <v>122</v>
      </c>
    </row>
    <row r="14" spans="2:9" x14ac:dyDescent="0.4">
      <c r="B14" s="47" t="s">
        <v>117</v>
      </c>
      <c r="C14" s="45"/>
      <c r="D14" s="46"/>
      <c r="E14" s="46">
        <f>'2024 IZRAČUN'!G60</f>
        <v>13099523.569999993</v>
      </c>
      <c r="F14" s="54" t="s">
        <v>114</v>
      </c>
      <c r="G14" s="32"/>
    </row>
    <row r="15" spans="2:9" x14ac:dyDescent="0.4">
      <c r="B15" s="47" t="s">
        <v>118</v>
      </c>
      <c r="C15" s="45"/>
      <c r="D15" s="46"/>
      <c r="E15" s="46">
        <v>13100000</v>
      </c>
      <c r="F15" s="54" t="s">
        <v>116</v>
      </c>
    </row>
    <row r="16" spans="2:9" x14ac:dyDescent="0.4">
      <c r="B16" s="47" t="s">
        <v>104</v>
      </c>
      <c r="C16" s="45"/>
      <c r="D16" s="46"/>
      <c r="E16" s="46">
        <f>E6</f>
        <v>14244256.440000001</v>
      </c>
      <c r="F16" s="54" t="s">
        <v>129</v>
      </c>
    </row>
    <row r="17" spans="2:7" x14ac:dyDescent="0.4">
      <c r="B17" s="47" t="s">
        <v>68</v>
      </c>
      <c r="C17" s="45"/>
      <c r="D17" s="45"/>
      <c r="E17" s="46">
        <f>E6-E15+E14</f>
        <v>14243780.009999994</v>
      </c>
      <c r="F17" s="54" t="s">
        <v>131</v>
      </c>
      <c r="G17" s="22"/>
    </row>
    <row r="18" spans="2:7" x14ac:dyDescent="0.4">
      <c r="B18" s="47" t="s">
        <v>86</v>
      </c>
      <c r="C18" s="45"/>
      <c r="D18" s="50"/>
      <c r="E18" s="46">
        <f>ROUND(E17/4,2)</f>
        <v>3560945</v>
      </c>
      <c r="F18" s="54" t="s">
        <v>124</v>
      </c>
    </row>
    <row r="19" spans="2:7" x14ac:dyDescent="0.4">
      <c r="B19" s="47" t="s">
        <v>74</v>
      </c>
      <c r="C19" s="45"/>
      <c r="D19" s="45"/>
      <c r="E19" s="51">
        <f>E18/E21</f>
        <v>0.11937906506075151</v>
      </c>
      <c r="F19" s="56" t="s">
        <v>125</v>
      </c>
    </row>
    <row r="20" spans="2:7" x14ac:dyDescent="0.4">
      <c r="B20" s="47" t="s">
        <v>87</v>
      </c>
      <c r="C20" s="45"/>
      <c r="D20" s="45"/>
      <c r="E20" s="46">
        <f>E17-E18</f>
        <v>10682835.009999994</v>
      </c>
      <c r="F20" s="54" t="s">
        <v>132</v>
      </c>
    </row>
    <row r="21" spans="2:7" x14ac:dyDescent="0.4">
      <c r="B21" s="47" t="s">
        <v>70</v>
      </c>
      <c r="C21" s="45"/>
      <c r="D21" s="45"/>
      <c r="E21" s="46">
        <v>29828890</v>
      </c>
      <c r="F21" s="54" t="s">
        <v>111</v>
      </c>
    </row>
    <row r="22" spans="2:7" x14ac:dyDescent="0.4">
      <c r="B22" s="47" t="s">
        <v>79</v>
      </c>
      <c r="C22" s="45"/>
      <c r="D22" s="45"/>
      <c r="E22" s="46">
        <v>5628927.919999999</v>
      </c>
      <c r="F22" s="54" t="s">
        <v>123</v>
      </c>
    </row>
    <row r="23" spans="2:7" x14ac:dyDescent="0.4">
      <c r="B23" s="47" t="s">
        <v>80</v>
      </c>
      <c r="C23" s="45"/>
      <c r="D23" s="45"/>
      <c r="E23" s="46">
        <f>E18</f>
        <v>3560945</v>
      </c>
      <c r="F23" s="54" t="s">
        <v>115</v>
      </c>
    </row>
    <row r="24" spans="2:7" x14ac:dyDescent="0.4">
      <c r="B24" s="47" t="s">
        <v>98</v>
      </c>
      <c r="C24" s="45"/>
      <c r="D24" s="45"/>
      <c r="E24" s="46">
        <f>E21-E23-E22</f>
        <v>20639017.080000002</v>
      </c>
      <c r="F24" s="54" t="s">
        <v>126</v>
      </c>
    </row>
    <row r="25" spans="2:7" x14ac:dyDescent="0.4">
      <c r="B25" s="47" t="s">
        <v>81</v>
      </c>
      <c r="C25" s="45"/>
      <c r="D25" s="45"/>
      <c r="E25" s="46">
        <f>E24/3</f>
        <v>6879672.3600000003</v>
      </c>
      <c r="F25" s="54"/>
    </row>
    <row r="26" spans="2:7" x14ac:dyDescent="0.4">
      <c r="B26" s="47" t="s">
        <v>69</v>
      </c>
      <c r="C26" s="45"/>
      <c r="D26" s="45"/>
      <c r="E26" s="46">
        <f>E25*3+E23+E22-E21</f>
        <v>0</v>
      </c>
      <c r="F26" s="54"/>
    </row>
    <row r="27" spans="2:7" x14ac:dyDescent="0.4">
      <c r="B27" s="45"/>
      <c r="C27" s="45"/>
      <c r="D27" s="45"/>
      <c r="E27" s="45"/>
      <c r="F27" s="53"/>
    </row>
    <row r="28" spans="2:7" x14ac:dyDescent="0.4">
      <c r="B28" t="s">
        <v>89</v>
      </c>
      <c r="E28" s="32"/>
      <c r="F28" s="57"/>
    </row>
    <row r="29" spans="2:7" x14ac:dyDescent="0.4">
      <c r="E29" s="32"/>
      <c r="F29" s="57"/>
    </row>
    <row r="30" spans="2:7" x14ac:dyDescent="0.4">
      <c r="E30" s="32"/>
      <c r="F30" s="57"/>
    </row>
    <row r="31" spans="2:7" x14ac:dyDescent="0.4">
      <c r="C31" s="32"/>
      <c r="E31" s="9"/>
      <c r="F31" s="58"/>
    </row>
  </sheetData>
  <pageMargins left="0.25" right="0.25" top="0.75" bottom="0.75" header="0.3" footer="0.3"/>
  <pageSetup paperSize="9" scale="9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2024 IZRAČUN</vt:lpstr>
      <vt:lpstr>2024-PREGLED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Pristovšek Primož</dc:creator>
  <cp:lastModifiedBy>Pristovšek Primož</cp:lastModifiedBy>
  <cp:lastPrinted>2023-12-22T10:26:08Z</cp:lastPrinted>
  <dcterms:created xsi:type="dcterms:W3CDTF">2023-02-21T11:10:39Z</dcterms:created>
  <dcterms:modified xsi:type="dcterms:W3CDTF">2024-02-19T14:08:41Z</dcterms:modified>
</cp:coreProperties>
</file>