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75" windowWidth="8280" windowHeight="11835" activeTab="0"/>
  </bookViews>
  <sheets>
    <sheet name="Kopija od Podatki za izračun 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Šertel Gabrijela</author>
  </authors>
  <commentList>
    <comment ref="Q24" authorId="0">
      <text>
        <r>
          <rPr>
            <b/>
            <sz val="8"/>
            <color indexed="8"/>
            <rFont val="Tahoma"/>
            <family val="0"/>
          </rPr>
          <t>Šertel Gabrijela:</t>
        </r>
        <r>
          <rPr>
            <sz val="8"/>
            <color indexed="8"/>
            <rFont val="Tahoma"/>
            <family val="0"/>
          </rPr>
          <t xml:space="preserve">
</t>
        </r>
        <r>
          <rPr>
            <sz val="16"/>
            <color indexed="8"/>
            <rFont val="Tahoma"/>
            <family val="2"/>
          </rPr>
          <t>Ostanek gleden na usmeritev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56" authorId="0">
      <text>
        <r>
          <rPr>
            <b/>
            <sz val="16"/>
            <color indexed="8"/>
            <rFont val="Tahoma"/>
            <family val="2"/>
          </rPr>
          <t>Šertel Gabrijela:</t>
        </r>
        <r>
          <rPr>
            <sz val="16"/>
            <color indexed="8"/>
            <rFont val="Tahoma"/>
            <family val="2"/>
          </rPr>
          <t xml:space="preserve">
Ostanek gleden na usmeritev</t>
        </r>
      </text>
    </comment>
    <comment ref="Q70" authorId="0">
      <text>
        <r>
          <rPr>
            <b/>
            <sz val="16"/>
            <color indexed="8"/>
            <rFont val="Tahoma"/>
            <family val="2"/>
          </rPr>
          <t>Šertel Gabrijela:</t>
        </r>
        <r>
          <rPr>
            <sz val="16"/>
            <color indexed="8"/>
            <rFont val="Tahoma"/>
            <family val="2"/>
          </rPr>
          <t xml:space="preserve">
Ostanek gleden na usmeritev</t>
        </r>
      </text>
    </comment>
    <comment ref="Q153" authorId="0">
      <text>
        <r>
          <rPr>
            <b/>
            <sz val="16"/>
            <color indexed="8"/>
            <rFont val="Tahoma"/>
            <family val="2"/>
          </rPr>
          <t>Šertel Gabrijela:</t>
        </r>
        <r>
          <rPr>
            <sz val="16"/>
            <color indexed="8"/>
            <rFont val="Tahoma"/>
            <family val="2"/>
          </rPr>
          <t xml:space="preserve">
Ostanek gleden na usmeritev</t>
        </r>
      </text>
    </comment>
    <comment ref="Q43" authorId="0">
      <text>
        <r>
          <rPr>
            <b/>
            <sz val="16"/>
            <color indexed="8"/>
            <rFont val="Tahoma"/>
            <family val="2"/>
          </rPr>
          <t xml:space="preserve">Šertel Gabrijela:
</t>
        </r>
        <r>
          <rPr>
            <sz val="16"/>
            <color indexed="8"/>
            <rFont val="Tahoma"/>
            <family val="2"/>
          </rPr>
          <t xml:space="preserve">Ostanek po razporeditvi negativnega stanja na področju Interdisciplinarnih ved
</t>
        </r>
      </text>
    </comment>
  </commentList>
</comments>
</file>

<file path=xl/sharedStrings.xml><?xml version="1.0" encoding="utf-8"?>
<sst xmlns="http://schemas.openxmlformats.org/spreadsheetml/2006/main" count="651" uniqueCount="298">
  <si>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</si>
  <si>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</si>
  <si>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</si>
  <si>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</si>
  <si>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</si>
  <si>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</si>
  <si>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</si>
  <si>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</si>
  <si>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</si>
  <si>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</si>
  <si>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</si>
  <si>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</si>
  <si>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</si>
  <si>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</si>
  <si>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</si>
  <si>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</si>
  <si>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Q/2</t>
  </si>
  <si>
    <t>Q</t>
  </si>
  <si>
    <t>R</t>
  </si>
  <si>
    <t>NARAVOSLOVNO MATEMATIČNE VEDE:</t>
  </si>
  <si>
    <t>odstoket za V kategorijo</t>
  </si>
  <si>
    <t xml:space="preserve">A </t>
  </si>
  <si>
    <t>Zap. Št</t>
  </si>
  <si>
    <t>Veda</t>
  </si>
  <si>
    <t>Izdajatelj</t>
  </si>
  <si>
    <t>Publikacija</t>
  </si>
  <si>
    <t>Št. izv.</t>
  </si>
  <si>
    <t>Naklada</t>
  </si>
  <si>
    <t>AP </t>
  </si>
  <si>
    <t>AP cena</t>
  </si>
  <si>
    <t>Ocena A</t>
  </si>
  <si>
    <t>Ocena B1</t>
  </si>
  <si>
    <t>Ocena B2</t>
  </si>
  <si>
    <t>Povprečje B</t>
  </si>
  <si>
    <t>Skupna ocena</t>
  </si>
  <si>
    <t>Kategorija</t>
  </si>
  <si>
    <t>Dotacija 2008</t>
  </si>
  <si>
    <t>Izračun</t>
  </si>
  <si>
    <t>Zaprošeno </t>
  </si>
  <si>
    <t>Znanstvene</t>
  </si>
  <si>
    <t>Znanstvene (do 20 AP pri IV in V kategoriji)</t>
  </si>
  <si>
    <t>Skupa</t>
  </si>
  <si>
    <t>dotacije</t>
  </si>
  <si>
    <t>If funkcija</t>
  </si>
  <si>
    <t>Slovensko kemijsko društvo</t>
  </si>
  <si>
    <t>Acta Chimica Slovenica</t>
  </si>
  <si>
    <t>Društvo za opazovanje in proučevanje ptic Slovenije</t>
  </si>
  <si>
    <t>Acrocephalus</t>
  </si>
  <si>
    <t>III</t>
  </si>
  <si>
    <t>Univerza na Primorskem, Znanstveno-raziskovalno središče Koper Universita del Litorale Centro di ricerche scientifiche di Capodistria</t>
  </si>
  <si>
    <t>Annales - Anali za istrske in mediteranske študije, Series Historia Naturalis</t>
  </si>
  <si>
    <t>Geološki zavod Slovenije</t>
  </si>
  <si>
    <t>Geologija</t>
  </si>
  <si>
    <t>Društvo matematikov, fizikov in astronomov - založništvo</t>
  </si>
  <si>
    <t>Obzornik za matematiko in fiziko</t>
  </si>
  <si>
    <t>IV</t>
  </si>
  <si>
    <t>Društvo biologov Slovenije</t>
  </si>
  <si>
    <t>Acta biologica Slovenica</t>
  </si>
  <si>
    <t>Zveza za tehnično kulturo Slovenije</t>
  </si>
  <si>
    <t>Natura Sloveniae - Revija za terensko biologijo</t>
  </si>
  <si>
    <t>Prirodoslovni muzej Slovenije</t>
  </si>
  <si>
    <t>Acta Entomologica Slovenica</t>
  </si>
  <si>
    <t>Znanstvenoraziskovalni center Slovenske akademije znanosti in umetnosti</t>
  </si>
  <si>
    <t>Hacquetia</t>
  </si>
  <si>
    <t>Slovenska akademija znanosti in umetnosti</t>
  </si>
  <si>
    <t>Razprave IV. Razreda SAZU</t>
  </si>
  <si>
    <t>Scopolia</t>
  </si>
  <si>
    <t>V</t>
  </si>
  <si>
    <t>Botanično društvo Slovenije</t>
  </si>
  <si>
    <t>Hladnikia</t>
  </si>
  <si>
    <t>Blejske delavnice iz fizike</t>
  </si>
  <si>
    <t>SKUPAJ:</t>
  </si>
  <si>
    <t>NAMA 13%</t>
  </si>
  <si>
    <t>20 </t>
  </si>
  <si>
    <t>TEHNIŠKE VEDE:</t>
  </si>
  <si>
    <t>21 </t>
  </si>
  <si>
    <t>22 </t>
  </si>
  <si>
    <t>Univerza v Ljubljani, Fakulteta za strojništvo</t>
  </si>
  <si>
    <t>Strojniški vestnik</t>
  </si>
  <si>
    <t>Strokovno društvo za mikroelektroniko</t>
  </si>
  <si>
    <t>Informacija MIDEM</t>
  </si>
  <si>
    <t>Zveza geodetov Slovenije</t>
  </si>
  <si>
    <t>Geodetski vestnik</t>
  </si>
  <si>
    <t>Slovensko društvo Informatika</t>
  </si>
  <si>
    <t>Informatica</t>
  </si>
  <si>
    <t>Društvo livarjev Slovenije</t>
  </si>
  <si>
    <t>Livarski vestnik</t>
  </si>
  <si>
    <t>Univerza v Ljubljani, Naravoslovnotehniška fakulteta</t>
  </si>
  <si>
    <t>Tekstilec</t>
  </si>
  <si>
    <t>Inštitut za kovinske materiale in tehnologije</t>
  </si>
  <si>
    <t>Materiali in tehnolgije</t>
  </si>
  <si>
    <t>Ventil</t>
  </si>
  <si>
    <t>Uporabna informatika</t>
  </si>
  <si>
    <t>Slovensko društvo za varilno tehniko</t>
  </si>
  <si>
    <t>Varilna tehnika</t>
  </si>
  <si>
    <t>Društvo za vakuumsko tehniko Slovenije</t>
  </si>
  <si>
    <t>Vakuumist</t>
  </si>
  <si>
    <t>TV 14%</t>
  </si>
  <si>
    <t>37 </t>
  </si>
  <si>
    <t>MEDICINSKE VEDE:</t>
  </si>
  <si>
    <t>38 </t>
  </si>
  <si>
    <t>39 </t>
  </si>
  <si>
    <t>Društvo Medicinski razgledi</t>
  </si>
  <si>
    <t>Medicinski razgledi</t>
  </si>
  <si>
    <t>41 </t>
  </si>
  <si>
    <t>Slovensko zdravniško društvo</t>
  </si>
  <si>
    <t>Zdravniški vestnik</t>
  </si>
  <si>
    <t>42 </t>
  </si>
  <si>
    <t>Inštitut za varovanje zdravja Republike Slovenije</t>
  </si>
  <si>
    <t>Zdravstveno varstvo</t>
  </si>
  <si>
    <t>43 </t>
  </si>
  <si>
    <t>Združenje slovenskih dermatologov</t>
  </si>
  <si>
    <t>Acta Dermatiovenerologica Alpina, Pannonica et Adriatica</t>
  </si>
  <si>
    <t>44 </t>
  </si>
  <si>
    <t>Endoskopska revija</t>
  </si>
  <si>
    <t>45 </t>
  </si>
  <si>
    <t>MED: 6%</t>
  </si>
  <si>
    <t>47 </t>
  </si>
  <si>
    <t>BIOTEHNIŠKE VEDE:</t>
  </si>
  <si>
    <t>48 </t>
  </si>
  <si>
    <t>49 </t>
  </si>
  <si>
    <t>Univerza v Ljubljani, Biotehniška fakulteta</t>
  </si>
  <si>
    <t>Acta agriculturae Slovenica</t>
  </si>
  <si>
    <t>Zbornik gozdarstva in lesarstva</t>
  </si>
  <si>
    <t>Univerza v Ljubljani, Veterinarska fakulteta</t>
  </si>
  <si>
    <t>Slovenski veterinarski zbornik</t>
  </si>
  <si>
    <t>53 </t>
  </si>
  <si>
    <t>Zveza lesarjev Slovenije</t>
  </si>
  <si>
    <t>LESwood</t>
  </si>
  <si>
    <t>54 </t>
  </si>
  <si>
    <t>Inštitut za hmeljarstvo in pivovarstvo Slovenije</t>
  </si>
  <si>
    <t>Hmeljarski bilten</t>
  </si>
  <si>
    <t>55 </t>
  </si>
  <si>
    <t>BTH 4%</t>
  </si>
  <si>
    <t>57 </t>
  </si>
  <si>
    <t>DRUŽBENE VEDE:</t>
  </si>
  <si>
    <t>58 </t>
  </si>
  <si>
    <t>59 </t>
  </si>
  <si>
    <t>Univerza v Ljubljani, Fakulteta za družbene vede</t>
  </si>
  <si>
    <t>Javnost/The Public</t>
  </si>
  <si>
    <t>Pedagoška obzorja d.o.o.</t>
  </si>
  <si>
    <t>Didactica Slovenica - Pedagoška obzorja</t>
  </si>
  <si>
    <t>Univerza na Primorskem, Fakulteta za management Koper</t>
  </si>
  <si>
    <t>Managing Global Transitions: International Research Journal</t>
  </si>
  <si>
    <t>II</t>
  </si>
  <si>
    <t>Zveza ekonomistov Slovenije</t>
  </si>
  <si>
    <t>Economic and Business Review</t>
  </si>
  <si>
    <t>Univerza v Ljubljani, Pravna fakulteta</t>
  </si>
  <si>
    <t>Zbornik znanstvenih razprav</t>
  </si>
  <si>
    <t>Univerza v Ljubljani, Fakulteta za arhitekturo</t>
  </si>
  <si>
    <t>AR, Arhitektura raziskave</t>
  </si>
  <si>
    <t>Slovensko sociološko društvo</t>
  </si>
  <si>
    <t>Družboslovne razprave</t>
  </si>
  <si>
    <t>Univerza v Ljubljani, Fakulteta za socialno delo</t>
  </si>
  <si>
    <t>Socialno delo</t>
  </si>
  <si>
    <t>Društvo psihologov Slovenije</t>
  </si>
  <si>
    <t>Psihološka obzorja</t>
  </si>
  <si>
    <t>Slovensko društvo raziskovalcev šolskega polja</t>
  </si>
  <si>
    <t>Šolsko polje: revija za teorijo in raziskave vzgoje in izobraževanja</t>
  </si>
  <si>
    <t>Univerza v Ljubljani, Fakulteta za šport</t>
  </si>
  <si>
    <t>Kinesiologia Slovenica</t>
  </si>
  <si>
    <t>Združenje za socialno pedagogiko</t>
  </si>
  <si>
    <t>Socialna pedagogika</t>
  </si>
  <si>
    <t>Društvo arhitektov Ljubljana</t>
  </si>
  <si>
    <t>AB arhitektov vilten / architect bulletin</t>
  </si>
  <si>
    <t>Urad RS za makroekonomske analize in razvoj</t>
  </si>
  <si>
    <t>IB revija</t>
  </si>
  <si>
    <t>Zveza društev pedagoških delavcev Slovenije</t>
  </si>
  <si>
    <t>Sodobna pedagogika</t>
  </si>
  <si>
    <t>Univerza v Mariboru Fakulteta za varnostne vede</t>
  </si>
  <si>
    <t>Varstvoslovje</t>
  </si>
  <si>
    <t>Teorija in praksa</t>
  </si>
  <si>
    <t>Management</t>
  </si>
  <si>
    <t>Urbanistični inštitut Republike Slovenije</t>
  </si>
  <si>
    <t>Urbani izziv</t>
  </si>
  <si>
    <t>Univerza v Ljubljani, Fakulteta za upravo</t>
  </si>
  <si>
    <t>Uprava / administration</t>
  </si>
  <si>
    <t>GV založba d.o.o.</t>
  </si>
  <si>
    <t>Pravnik, Revija za pravno teorijo in prakso</t>
  </si>
  <si>
    <t>Uradni list d.o.o.</t>
  </si>
  <si>
    <t>REVUS - Revija za evropsko ustavnost</t>
  </si>
  <si>
    <t>Univerza v Ljubljani, Filozofska fakulteta</t>
  </si>
  <si>
    <t>Andragoška spoznanja</t>
  </si>
  <si>
    <t>Ekonomski inštitut Pravne fakultete</t>
  </si>
  <si>
    <t>Gospodarska gibanja</t>
  </si>
  <si>
    <t>Fakulteta za uporabne družbene študije v Novi Gorici</t>
  </si>
  <si>
    <t>Raziskave in razprave</t>
  </si>
  <si>
    <t>Nova Revija,d.o.o.</t>
  </si>
  <si>
    <t>Dignitas</t>
  </si>
  <si>
    <t>Didakta d.o.o.</t>
  </si>
  <si>
    <t>Didakta</t>
  </si>
  <si>
    <t>DV: 17%</t>
  </si>
  <si>
    <t>89 </t>
  </si>
  <si>
    <t>HUMANISTIČNE VEDE:</t>
  </si>
  <si>
    <t>90 </t>
  </si>
  <si>
    <t>91 </t>
  </si>
  <si>
    <t>Zveza zgodovinskih društev Slovenije</t>
  </si>
  <si>
    <t>Zgodovinski časopis - Historical Review</t>
  </si>
  <si>
    <t>Annales - Anali za istrke in mediteranske študije, Series Historia et Sociologia</t>
  </si>
  <si>
    <t>Acta geographica Slovenica - Geografski zbornik</t>
  </si>
  <si>
    <t>Acta Histriae</t>
  </si>
  <si>
    <t>Zveza geografskih društev Slovenije</t>
  </si>
  <si>
    <t>Geografski vestnik</t>
  </si>
  <si>
    <t>Slovensko filozofsko društvo</t>
  </si>
  <si>
    <t>Anthropos</t>
  </si>
  <si>
    <t>Zgodovinsko društvo dr. Franca Kovačiča</t>
  </si>
  <si>
    <t>Studia Historica Slovenica</t>
  </si>
  <si>
    <t>Slavistično društvo Slovenije</t>
  </si>
  <si>
    <t>Jezik in slovstvo</t>
  </si>
  <si>
    <t>Phainomena</t>
  </si>
  <si>
    <t>Kronika</t>
  </si>
  <si>
    <t>Društvo antropologov Slovenije</t>
  </si>
  <si>
    <t>Antropological Notebooks</t>
  </si>
  <si>
    <t>Dve domovini/Two Homelands</t>
  </si>
  <si>
    <t>ZGODOVINSKO DRUŠTVO CELJE, duplikat 1840</t>
  </si>
  <si>
    <t>Zgodovina za vse</t>
  </si>
  <si>
    <t>De musica disserenda</t>
  </si>
  <si>
    <t>Documenta Praehistorica</t>
  </si>
  <si>
    <t>Arheološki vestnik</t>
  </si>
  <si>
    <t>Arhivsko društvo Slovenije</t>
  </si>
  <si>
    <t>ARHIVI. Glasilo Arhivskega društva in arhivov Slovenije</t>
  </si>
  <si>
    <t>Muzikološki zbornik</t>
  </si>
  <si>
    <t>Traditiones</t>
  </si>
  <si>
    <t>Dela</t>
  </si>
  <si>
    <t>Slovensko umetnostnozgodovinsko društvo</t>
  </si>
  <si>
    <t>Zbornik za umetnostno zgodovino</t>
  </si>
  <si>
    <t>Slovenski etnografski muzej</t>
  </si>
  <si>
    <t>Etnolog</t>
  </si>
  <si>
    <t>Acta historiae artis Slovenica</t>
  </si>
  <si>
    <t>Linguistica</t>
  </si>
  <si>
    <t>Studia Mythologica Slavica</t>
  </si>
  <si>
    <t>Slovensko etnološko društvo</t>
  </si>
  <si>
    <t>Glasnik Slovenskega etnološkega društva</t>
  </si>
  <si>
    <t>Inštitut za novejšo zgodovino</t>
  </si>
  <si>
    <t>Prispevki za novejšo zgodovino</t>
  </si>
  <si>
    <t>Jezikoslovni zapiski</t>
  </si>
  <si>
    <t>Acta Neophilologica</t>
  </si>
  <si>
    <t>Slovenski šolski muzej</t>
  </si>
  <si>
    <t>Šolska kronika</t>
  </si>
  <si>
    <t>INSTITUTUM STUDIORUM HUMANITATIS, Fakulteta za podiplomski humanistični študij, Ljubljana</t>
  </si>
  <si>
    <t>Monitor ISH</t>
  </si>
  <si>
    <t>Monitor ZSA</t>
  </si>
  <si>
    <t>Azijske in afriške študije</t>
  </si>
  <si>
    <t>Verba Hispanica</t>
  </si>
  <si>
    <t>Nova revija</t>
  </si>
  <si>
    <t>Poligrafi</t>
  </si>
  <si>
    <t>Keria. Studia Latina et Graeca</t>
  </si>
  <si>
    <t>ZVD Zavod za varstvo pri delu d.d.</t>
  </si>
  <si>
    <t>Delo in varnost</t>
  </si>
  <si>
    <t>HV: 35%</t>
  </si>
  <si>
    <t>INTERDISCIPLINARNE VEDE:</t>
  </si>
  <si>
    <t>134 </t>
  </si>
  <si>
    <t>135 </t>
  </si>
  <si>
    <t>Univerza v Mariboru, Fakulteta za gradbeništvo</t>
  </si>
  <si>
    <t>Acta Geotechnica Slovenica</t>
  </si>
  <si>
    <t>Slavistična revija</t>
  </si>
  <si>
    <t>137 </t>
  </si>
  <si>
    <t>Acta Carsologica</t>
  </si>
  <si>
    <t>Inštitut Antona Trstenjaka za gerontologijo in medgeneracijsko sožitje</t>
  </si>
  <si>
    <t>Kakovostna starost</t>
  </si>
  <si>
    <t>Inštitut za narodnostna vprašanja</t>
  </si>
  <si>
    <t>Razprave in gradivo - Treatises and documents</t>
  </si>
  <si>
    <t>Elektrotehniška zveza Slovenije</t>
  </si>
  <si>
    <t>Elektrotehniški vestnik</t>
  </si>
  <si>
    <t>Narodna in univerzitetna knjižnica v Ljubljani</t>
  </si>
  <si>
    <t>Knjižnica</t>
  </si>
  <si>
    <t>Društvo za stereologijo in kvantitativno analizo slike</t>
  </si>
  <si>
    <t>Image Analysis &amp; Stereology</t>
  </si>
  <si>
    <t>Zveza gozdarskih društev Slovenije</t>
  </si>
  <si>
    <t>Gozdarski vestnik</t>
  </si>
  <si>
    <t>Univerza v Mariboru, Fakulteta za organizacijske vede</t>
  </si>
  <si>
    <t>Organizacija: revija za management, informatiko in kadre</t>
  </si>
  <si>
    <t>Študentska založba Študentske organizacije Univerze v Ljubljani</t>
  </si>
  <si>
    <t>Časopis za kritiko znanosti, domišljijo in novo antropologijo</t>
  </si>
  <si>
    <t>Metodološki zvezki</t>
  </si>
  <si>
    <t>RMZ - Materials and Geoenvironment</t>
  </si>
  <si>
    <t>ZAVOD INŠTITUT ZA SANITARNO INŽENIRSTVO</t>
  </si>
  <si>
    <t>Sanitarno inženirstvo, Internatiolan journal of sanitary engineering research</t>
  </si>
  <si>
    <t>Univerza v Mariboru, Ekonomsko-poslovna fakulteta</t>
  </si>
  <si>
    <t>Naše gospodarstvo</t>
  </si>
  <si>
    <t>Center za interdisciplinarne in multidisciplinarne raziskave in študije Univerze v Mariboru</t>
  </si>
  <si>
    <t>Atlanti (19) 2009</t>
  </si>
  <si>
    <t>Zap Št</t>
  </si>
  <si>
    <r>
      <t>Cena AP</t>
    </r>
    <r>
      <rPr>
        <sz val="9"/>
        <rFont val="Arial Unicode MS"/>
        <family val="0"/>
      </rPr>
      <t xml:space="preserve"> </t>
    </r>
  </si>
  <si>
    <t>Triletniki</t>
  </si>
  <si>
    <t>Enoletniki</t>
  </si>
  <si>
    <t>SCI</t>
  </si>
  <si>
    <t>SSCI</t>
  </si>
  <si>
    <t>V.</t>
  </si>
  <si>
    <t>AHCI</t>
  </si>
  <si>
    <t xml:space="preserve">ZRC SAZU </t>
  </si>
  <si>
    <t xml:space="preserve">Filozofski vestnik </t>
  </si>
  <si>
    <t xml:space="preserve">Domače znanstvene periodične publikacije 2009 </t>
  </si>
  <si>
    <t>Enoletniki:</t>
  </si>
  <si>
    <t xml:space="preserve">Cena AP </t>
  </si>
  <si>
    <t>Znesek €</t>
  </si>
  <si>
    <t>Sprejeto na 57. seji UO</t>
  </si>
  <si>
    <t>Domače znanstvene periodične publikacije 2009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</si>
</sst>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0.000"/>
    <numFmt numFmtId="167" formatCode="#,##0.000"/>
    <numFmt numFmtId="168" formatCode="#,##0.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9"/>
      <name val="Arial"/>
      <family val="0"/>
    </font>
    <font>
      <sz val="9"/>
      <name val="Arial Unicode MS"/>
      <family val="0"/>
    </font>
    <font>
      <b/>
      <sz val="9"/>
      <name val="Arial Unicode MS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name val="Arial Unicode MS"/>
      <family val="0"/>
    </font>
    <font>
      <b/>
      <i/>
      <u val="single"/>
      <sz val="9"/>
      <name val="Arial Unicode MS"/>
      <family val="0"/>
    </font>
    <font>
      <sz val="8"/>
      <name val="Arial"/>
      <family val="0"/>
    </font>
    <font>
      <b/>
      <i/>
      <sz val="12"/>
      <name val="Arial Unicode MS"/>
      <family val="0"/>
    </font>
    <font>
      <b/>
      <i/>
      <sz val="14"/>
      <name val="Arial"/>
      <family val="2"/>
    </font>
    <font>
      <b/>
      <i/>
      <u val="single"/>
      <sz val="14"/>
      <name val="Arial Unicode MS"/>
      <family val="0"/>
    </font>
    <font>
      <b/>
      <sz val="11"/>
      <name val="Arial Unicode MS"/>
      <family val="0"/>
    </font>
    <font>
      <sz val="11"/>
      <name val="Arial Unicode MS"/>
      <family val="0"/>
    </font>
    <font>
      <b/>
      <i/>
      <u val="single"/>
      <sz val="11"/>
      <name val="Arial Unicode MS"/>
      <family val="0"/>
    </font>
    <font>
      <b/>
      <i/>
      <u val="single"/>
      <sz val="16"/>
      <name val="Arial Unicode MS"/>
      <family val="0"/>
    </font>
    <font>
      <b/>
      <u val="single"/>
      <sz val="9"/>
      <name val="Arial Unicode MS"/>
      <family val="0"/>
    </font>
    <font>
      <u val="single"/>
      <sz val="9"/>
      <name val="Arial Unicode MS"/>
      <family val="0"/>
    </font>
    <font>
      <u val="single"/>
      <sz val="9"/>
      <name val="Arial"/>
      <family val="0"/>
    </font>
    <font>
      <b/>
      <sz val="16"/>
      <name val="Arial Unicode MS"/>
      <family val="0"/>
    </font>
    <font>
      <sz val="16"/>
      <name val="Arial"/>
      <family val="0"/>
    </font>
    <font>
      <sz val="9"/>
      <color indexed="9"/>
      <name val="Arial Unicode MS"/>
      <family val="0"/>
    </font>
    <font>
      <b/>
      <sz val="12"/>
      <name val="Arial"/>
      <family val="2"/>
    </font>
    <font>
      <b/>
      <sz val="12"/>
      <name val="Arial Unicode MS"/>
      <family val="0"/>
    </font>
    <font>
      <b/>
      <sz val="9"/>
      <color indexed="9"/>
      <name val="Arial Unicode MS"/>
      <family val="0"/>
    </font>
    <font>
      <b/>
      <sz val="9"/>
      <color indexed="9"/>
      <name val="Arial"/>
      <family val="2"/>
    </font>
    <font>
      <b/>
      <sz val="11"/>
      <color indexed="9"/>
      <name val="Arial Unicode MS"/>
      <family val="0"/>
    </font>
    <font>
      <sz val="9"/>
      <color indexed="9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166" fontId="8" fillId="0" borderId="3" xfId="0" applyNumberFormat="1" applyFont="1" applyBorder="1" applyAlignment="1">
      <alignment wrapText="1"/>
    </xf>
    <xf numFmtId="1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166" fontId="7" fillId="3" borderId="3" xfId="0" applyNumberFormat="1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8" fillId="0" borderId="8" xfId="0" applyFont="1" applyBorder="1" applyAlignment="1">
      <alignment wrapText="1"/>
    </xf>
    <xf numFmtId="3" fontId="10" fillId="0" borderId="4" xfId="0" applyNumberFormat="1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7" fillId="0" borderId="9" xfId="0" applyFont="1" applyBorder="1" applyAlignment="1">
      <alignment/>
    </xf>
    <xf numFmtId="4" fontId="9" fillId="0" borderId="4" xfId="0" applyNumberFormat="1" applyFont="1" applyBorder="1" applyAlignment="1">
      <alignment horizontal="left" wrapText="1"/>
    </xf>
    <xf numFmtId="4" fontId="7" fillId="0" borderId="9" xfId="0" applyNumberFormat="1" applyFont="1" applyBorder="1" applyAlignment="1">
      <alignment horizontal="left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4" fontId="10" fillId="3" borderId="7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4" fontId="10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4" fontId="9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wrapText="1"/>
    </xf>
    <xf numFmtId="4" fontId="10" fillId="0" borderId="2" xfId="0" applyNumberFormat="1" applyFont="1" applyBorder="1" applyAlignment="1">
      <alignment wrapText="1"/>
    </xf>
    <xf numFmtId="166" fontId="8" fillId="0" borderId="10" xfId="0" applyNumberFormat="1" applyFont="1" applyBorder="1" applyAlignment="1">
      <alignment wrapText="1"/>
    </xf>
    <xf numFmtId="166" fontId="8" fillId="0" borderId="11" xfId="0" applyNumberFormat="1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1" fontId="8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0" fontId="7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166" fontId="8" fillId="0" borderId="8" xfId="0" applyNumberFormat="1" applyFont="1" applyBorder="1" applyAlignment="1">
      <alignment wrapText="1"/>
    </xf>
    <xf numFmtId="0" fontId="9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6" fontId="8" fillId="0" borderId="15" xfId="0" applyNumberFormat="1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0" fillId="3" borderId="0" xfId="0" applyFont="1" applyFill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1" fontId="8" fillId="0" borderId="16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/>
    </xf>
    <xf numFmtId="4" fontId="9" fillId="0" borderId="17" xfId="0" applyNumberFormat="1" applyFont="1" applyBorder="1" applyAlignment="1">
      <alignment horizontal="left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4" fontId="19" fillId="0" borderId="16" xfId="0" applyNumberFormat="1" applyFont="1" applyBorder="1" applyAlignment="1">
      <alignment horizontal="center" wrapText="1"/>
    </xf>
    <xf numFmtId="0" fontId="7" fillId="0" borderId="19" xfId="0" applyFont="1" applyBorder="1" applyAlignment="1">
      <alignment/>
    </xf>
    <xf numFmtId="166" fontId="7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66" fontId="8" fillId="0" borderId="3" xfId="0" applyNumberFormat="1" applyFont="1" applyFill="1" applyBorder="1" applyAlignment="1">
      <alignment wrapText="1"/>
    </xf>
    <xf numFmtId="1" fontId="19" fillId="0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3" borderId="21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166" fontId="9" fillId="2" borderId="22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7" fillId="3" borderId="18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" fontId="8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4" fontId="9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/>
    </xf>
    <xf numFmtId="166" fontId="23" fillId="0" borderId="0" xfId="0" applyNumberFormat="1" applyFont="1" applyBorder="1" applyAlignment="1">
      <alignment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 wrapText="1"/>
    </xf>
    <xf numFmtId="4" fontId="13" fillId="0" borderId="0" xfId="0" applyNumberFormat="1" applyFont="1" applyFill="1" applyBorder="1" applyAlignment="1">
      <alignment wrapText="1"/>
    </xf>
    <xf numFmtId="4" fontId="23" fillId="0" borderId="0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" fontId="19" fillId="4" borderId="16" xfId="0" applyNumberFormat="1" applyFont="1" applyFill="1" applyBorder="1" applyAlignment="1">
      <alignment horizontal="right" wrapText="1"/>
    </xf>
    <xf numFmtId="4" fontId="7" fillId="0" borderId="1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 wrapText="1"/>
    </xf>
    <xf numFmtId="4" fontId="8" fillId="0" borderId="2" xfId="0" applyNumberFormat="1" applyFont="1" applyFill="1" applyBorder="1" applyAlignment="1">
      <alignment horizontal="right" wrapText="1"/>
    </xf>
    <xf numFmtId="4" fontId="7" fillId="0" borderId="8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 wrapText="1"/>
    </xf>
    <xf numFmtId="4" fontId="10" fillId="0" borderId="2" xfId="0" applyNumberFormat="1" applyFont="1" applyBorder="1" applyAlignment="1">
      <alignment horizontal="right" wrapText="1"/>
    </xf>
    <xf numFmtId="4" fontId="10" fillId="0" borderId="2" xfId="0" applyNumberFormat="1" applyFont="1" applyFill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" fontId="23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 horizontal="right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0" borderId="21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right" wrapText="1"/>
    </xf>
    <xf numFmtId="4" fontId="11" fillId="0" borderId="21" xfId="0" applyNumberFormat="1" applyFont="1" applyBorder="1" applyAlignment="1">
      <alignment horizontal="right" wrapText="1"/>
    </xf>
    <xf numFmtId="3" fontId="16" fillId="5" borderId="25" xfId="0" applyNumberFormat="1" applyFont="1" applyFill="1" applyBorder="1" applyAlignment="1">
      <alignment horizontal="right" wrapText="1"/>
    </xf>
    <xf numFmtId="4" fontId="12" fillId="0" borderId="25" xfId="0" applyNumberFormat="1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4" fontId="20" fillId="0" borderId="30" xfId="0" applyNumberFormat="1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right" wrapText="1"/>
    </xf>
    <xf numFmtId="4" fontId="8" fillId="0" borderId="25" xfId="0" applyNumberFormat="1" applyFont="1" applyFill="1" applyBorder="1" applyAlignment="1">
      <alignment wrapText="1"/>
    </xf>
    <xf numFmtId="4" fontId="16" fillId="5" borderId="25" xfId="0" applyNumberFormat="1" applyFont="1" applyFill="1" applyBorder="1" applyAlignment="1">
      <alignment horizontal="right" wrapText="1"/>
    </xf>
    <xf numFmtId="4" fontId="8" fillId="0" borderId="25" xfId="0" applyNumberFormat="1" applyFont="1" applyBorder="1" applyAlignment="1">
      <alignment wrapText="1"/>
    </xf>
    <xf numFmtId="0" fontId="7" fillId="0" borderId="21" xfId="0" applyFont="1" applyBorder="1" applyAlignment="1">
      <alignment horizontal="right" wrapText="1"/>
    </xf>
    <xf numFmtId="0" fontId="7" fillId="0" borderId="25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" fontId="13" fillId="0" borderId="30" xfId="0" applyNumberFormat="1" applyFont="1" applyBorder="1" applyAlignment="1">
      <alignment wrapText="1"/>
    </xf>
    <xf numFmtId="4" fontId="10" fillId="0" borderId="21" xfId="0" applyNumberFormat="1" applyFont="1" applyFill="1" applyBorder="1" applyAlignment="1">
      <alignment horizontal="center" wrapText="1"/>
    </xf>
    <xf numFmtId="4" fontId="10" fillId="0" borderId="31" xfId="0" applyNumberFormat="1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4" fontId="15" fillId="5" borderId="25" xfId="0" applyNumberFormat="1" applyFont="1" applyFill="1" applyBorder="1" applyAlignment="1">
      <alignment horizontal="right" wrapText="1"/>
    </xf>
    <xf numFmtId="4" fontId="12" fillId="0" borderId="32" xfId="0" applyNumberFormat="1" applyFont="1" applyFill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33" xfId="0" applyFont="1" applyBorder="1" applyAlignment="1">
      <alignment wrapText="1"/>
    </xf>
    <xf numFmtId="4" fontId="9" fillId="0" borderId="34" xfId="0" applyNumberFormat="1" applyFont="1" applyBorder="1" applyAlignment="1">
      <alignment horizontal="left" wrapText="1"/>
    </xf>
    <xf numFmtId="0" fontId="7" fillId="0" borderId="35" xfId="0" applyFont="1" applyBorder="1" applyAlignment="1">
      <alignment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166" fontId="8" fillId="0" borderId="36" xfId="0" applyNumberFormat="1" applyFont="1" applyBorder="1" applyAlignment="1">
      <alignment wrapText="1"/>
    </xf>
    <xf numFmtId="1" fontId="8" fillId="0" borderId="33" xfId="0" applyNumberFormat="1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4" fontId="19" fillId="4" borderId="33" xfId="0" applyNumberFormat="1" applyFont="1" applyFill="1" applyBorder="1" applyAlignment="1">
      <alignment horizontal="right" wrapText="1"/>
    </xf>
    <xf numFmtId="4" fontId="19" fillId="0" borderId="33" xfId="0" applyNumberFormat="1" applyFont="1" applyBorder="1" applyAlignment="1">
      <alignment horizontal="center" wrapText="1"/>
    </xf>
    <xf numFmtId="0" fontId="19" fillId="0" borderId="37" xfId="0" applyFont="1" applyBorder="1" applyAlignment="1">
      <alignment wrapText="1"/>
    </xf>
    <xf numFmtId="4" fontId="20" fillId="0" borderId="38" xfId="0" applyNumberFormat="1" applyFont="1" applyFill="1" applyBorder="1" applyAlignment="1">
      <alignment wrapText="1"/>
    </xf>
    <xf numFmtId="0" fontId="25" fillId="0" borderId="39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18" fillId="0" borderId="37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9" fillId="2" borderId="20" xfId="0" applyFont="1" applyFill="1" applyBorder="1" applyAlignment="1">
      <alignment horizontal="center" vertical="center"/>
    </xf>
    <xf numFmtId="166" fontId="10" fillId="0" borderId="4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8" fillId="0" borderId="4" xfId="0" applyNumberFormat="1" applyFont="1" applyBorder="1" applyAlignment="1">
      <alignment horizontal="center" wrapText="1"/>
    </xf>
    <xf numFmtId="4" fontId="19" fillId="0" borderId="30" xfId="0" applyNumberFormat="1" applyFont="1" applyFill="1" applyBorder="1" applyAlignment="1">
      <alignment wrapText="1"/>
    </xf>
    <xf numFmtId="4" fontId="30" fillId="0" borderId="4" xfId="0" applyNumberFormat="1" applyFont="1" applyBorder="1" applyAlignment="1">
      <alignment horizontal="left" wrapText="1"/>
    </xf>
    <xf numFmtId="166" fontId="7" fillId="3" borderId="8" xfId="0" applyNumberFormat="1" applyFont="1" applyFill="1" applyBorder="1" applyAlignment="1">
      <alignment horizontal="center" wrapText="1"/>
    </xf>
    <xf numFmtId="166" fontId="8" fillId="0" borderId="8" xfId="0" applyNumberFormat="1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166" fontId="27" fillId="0" borderId="8" xfId="0" applyNumberFormat="1" applyFont="1" applyBorder="1" applyAlignment="1">
      <alignment wrapText="1"/>
    </xf>
    <xf numFmtId="0" fontId="29" fillId="0" borderId="2" xfId="0" applyFont="1" applyBorder="1" applyAlignment="1">
      <alignment wrapText="1"/>
    </xf>
    <xf numFmtId="1" fontId="27" fillId="0" borderId="2" xfId="0" applyNumberFormat="1" applyFont="1" applyFill="1" applyBorder="1" applyAlignment="1">
      <alignment horizontal="center" wrapText="1"/>
    </xf>
    <xf numFmtId="4" fontId="30" fillId="0" borderId="2" xfId="0" applyNumberFormat="1" applyFont="1" applyBorder="1" applyAlignment="1">
      <alignment horizontal="left" wrapText="1"/>
    </xf>
    <xf numFmtId="0" fontId="29" fillId="0" borderId="13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10" fillId="3" borderId="41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4" fontId="30" fillId="0" borderId="7" xfId="0" applyNumberFormat="1" applyFont="1" applyBorder="1" applyAlignment="1">
      <alignment horizontal="left" wrapText="1"/>
    </xf>
    <xf numFmtId="0" fontId="31" fillId="0" borderId="2" xfId="0" applyFont="1" applyFill="1" applyBorder="1" applyAlignment="1">
      <alignment horizontal="center" wrapText="1"/>
    </xf>
    <xf numFmtId="0" fontId="19" fillId="0" borderId="42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19" fillId="0" borderId="43" xfId="0" applyFont="1" applyBorder="1" applyAlignment="1">
      <alignment wrapText="1"/>
    </xf>
    <xf numFmtId="0" fontId="33" fillId="0" borderId="0" xfId="0" applyFont="1" applyAlignment="1">
      <alignment/>
    </xf>
    <xf numFmtId="4" fontId="20" fillId="0" borderId="44" xfId="0" applyNumberFormat="1" applyFont="1" applyFill="1" applyBorder="1" applyAlignment="1">
      <alignment wrapText="1"/>
    </xf>
    <xf numFmtId="14" fontId="19" fillId="0" borderId="0" xfId="0" applyNumberFormat="1" applyFont="1" applyBorder="1" applyAlignment="1">
      <alignment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166" fontId="10" fillId="3" borderId="6" xfId="0" applyNumberFormat="1" applyFont="1" applyFill="1" applyBorder="1" applyAlignment="1">
      <alignment horizontal="center" vertical="center" wrapText="1"/>
    </xf>
    <xf numFmtId="1" fontId="10" fillId="3" borderId="41" xfId="0" applyNumberFormat="1" applyFont="1" applyFill="1" applyBorder="1" applyAlignment="1">
      <alignment horizontal="center" vertical="center" wrapText="1"/>
    </xf>
    <xf numFmtId="1" fontId="10" fillId="3" borderId="21" xfId="0" applyNumberFormat="1" applyFont="1" applyFill="1" applyBorder="1" applyAlignment="1">
      <alignment horizontal="center" vertical="center" wrapText="1"/>
    </xf>
    <xf numFmtId="4" fontId="10" fillId="3" borderId="41" xfId="0" applyNumberFormat="1" applyFont="1" applyFill="1" applyBorder="1" applyAlignment="1">
      <alignment horizontal="right" vertical="center" wrapText="1"/>
    </xf>
    <xf numFmtId="4" fontId="10" fillId="3" borderId="21" xfId="0" applyNumberFormat="1" applyFont="1" applyFill="1" applyBorder="1" applyAlignment="1">
      <alignment horizontal="right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166" fontId="10" fillId="3" borderId="46" xfId="0" applyNumberFormat="1" applyFont="1" applyFill="1" applyBorder="1" applyAlignment="1">
      <alignment horizontal="center" wrapText="1"/>
    </xf>
    <xf numFmtId="166" fontId="10" fillId="3" borderId="5" xfId="0" applyNumberFormat="1" applyFont="1" applyFill="1" applyBorder="1" applyAlignment="1">
      <alignment horizontal="center" wrapText="1"/>
    </xf>
    <xf numFmtId="1" fontId="10" fillId="3" borderId="41" xfId="0" applyNumberFormat="1" applyFont="1" applyFill="1" applyBorder="1" applyAlignment="1">
      <alignment horizontal="center" wrapText="1"/>
    </xf>
    <xf numFmtId="1" fontId="10" fillId="3" borderId="21" xfId="0" applyNumberFormat="1" applyFont="1" applyFill="1" applyBorder="1" applyAlignment="1">
      <alignment horizontal="center" wrapText="1"/>
    </xf>
    <xf numFmtId="4" fontId="10" fillId="3" borderId="41" xfId="0" applyNumberFormat="1" applyFont="1" applyFill="1" applyBorder="1" applyAlignment="1">
      <alignment horizontal="right" wrapText="1"/>
    </xf>
    <xf numFmtId="4" fontId="10" fillId="3" borderId="21" xfId="0" applyNumberFormat="1" applyFont="1" applyFill="1" applyBorder="1" applyAlignment="1">
      <alignment horizontal="right" wrapText="1"/>
    </xf>
    <xf numFmtId="0" fontId="10" fillId="3" borderId="45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166" fontId="10" fillId="3" borderId="6" xfId="0" applyNumberFormat="1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right" vertical="center"/>
    </xf>
    <xf numFmtId="4" fontId="9" fillId="2" borderId="13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wrapText="1"/>
    </xf>
    <xf numFmtId="0" fontId="28" fillId="0" borderId="52" xfId="0" applyFont="1" applyBorder="1" applyAlignment="1">
      <alignment/>
    </xf>
    <xf numFmtId="0" fontId="10" fillId="3" borderId="53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wrapText="1"/>
    </xf>
    <xf numFmtId="0" fontId="8" fillId="0" borderId="54" xfId="0" applyFont="1" applyBorder="1" applyAlignment="1">
      <alignment wrapText="1"/>
    </xf>
    <xf numFmtId="0" fontId="28" fillId="0" borderId="12" xfId="0" applyFont="1" applyBorder="1" applyAlignment="1">
      <alignment/>
    </xf>
    <xf numFmtId="0" fontId="10" fillId="3" borderId="53" xfId="0" applyFont="1" applyFill="1" applyBorder="1" applyAlignment="1">
      <alignment horizontal="center" wrapText="1"/>
    </xf>
    <xf numFmtId="0" fontId="10" fillId="3" borderId="52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8" fillId="0" borderId="55" xfId="0" applyFont="1" applyBorder="1" applyAlignment="1">
      <alignment wrapText="1"/>
    </xf>
    <xf numFmtId="0" fontId="31" fillId="0" borderId="52" xfId="0" applyFont="1" applyBorder="1" applyAlignment="1">
      <alignment horizontal="center" wrapText="1"/>
    </xf>
    <xf numFmtId="0" fontId="8" fillId="0" borderId="56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4" fontId="29" fillId="0" borderId="0" xfId="0" applyNumberFormat="1" applyFont="1" applyBorder="1" applyAlignment="1">
      <alignment horizontal="left" wrapText="1"/>
    </xf>
    <xf numFmtId="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166" fontId="8" fillId="0" borderId="57" xfId="0" applyNumberFormat="1" applyFont="1" applyBorder="1" applyAlignment="1">
      <alignment wrapText="1"/>
    </xf>
    <xf numFmtId="0" fontId="18" fillId="0" borderId="58" xfId="0" applyFont="1" applyBorder="1" applyAlignment="1">
      <alignment horizontal="center"/>
    </xf>
    <xf numFmtId="4" fontId="19" fillId="0" borderId="58" xfId="0" applyNumberFormat="1" applyFont="1" applyBorder="1" applyAlignment="1">
      <alignment horizontal="right" wrapText="1"/>
    </xf>
    <xf numFmtId="0" fontId="18" fillId="0" borderId="29" xfId="0" applyFont="1" applyBorder="1" applyAlignment="1">
      <alignment wrapText="1"/>
    </xf>
    <xf numFmtId="0" fontId="10" fillId="0" borderId="54" xfId="0" applyFont="1" applyBorder="1" applyAlignment="1">
      <alignment/>
    </xf>
    <xf numFmtId="0" fontId="28" fillId="0" borderId="59" xfId="0" applyFont="1" applyBorder="1" applyAlignment="1">
      <alignment/>
    </xf>
    <xf numFmtId="0" fontId="29" fillId="0" borderId="60" xfId="0" applyFont="1" applyBorder="1" applyAlignment="1">
      <alignment wrapText="1"/>
    </xf>
    <xf numFmtId="4" fontId="29" fillId="0" borderId="61" xfId="0" applyNumberFormat="1" applyFont="1" applyBorder="1" applyAlignment="1">
      <alignment horizontal="left" wrapText="1"/>
    </xf>
    <xf numFmtId="0" fontId="7" fillId="0" borderId="62" xfId="0" applyFont="1" applyBorder="1" applyAlignment="1">
      <alignment/>
    </xf>
    <xf numFmtId="0" fontId="8" fillId="0" borderId="60" xfId="0" applyFont="1" applyBorder="1" applyAlignment="1">
      <alignment wrapText="1"/>
    </xf>
    <xf numFmtId="0" fontId="8" fillId="0" borderId="61" xfId="0" applyFont="1" applyBorder="1" applyAlignment="1">
      <alignment wrapText="1"/>
    </xf>
    <xf numFmtId="0" fontId="8" fillId="0" borderId="62" xfId="0" applyFont="1" applyBorder="1" applyAlignment="1">
      <alignment wrapText="1"/>
    </xf>
    <xf numFmtId="166" fontId="8" fillId="0" borderId="63" xfId="0" applyNumberFormat="1" applyFont="1" applyBorder="1" applyAlignment="1">
      <alignment wrapText="1"/>
    </xf>
    <xf numFmtId="1" fontId="8" fillId="0" borderId="60" xfId="0" applyNumberFormat="1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32" fillId="0" borderId="60" xfId="0" applyFont="1" applyBorder="1" applyAlignment="1">
      <alignment horizontal="center"/>
    </xf>
    <xf numFmtId="4" fontId="19" fillId="4" borderId="60" xfId="0" applyNumberFormat="1" applyFont="1" applyFill="1" applyBorder="1" applyAlignment="1">
      <alignment horizontal="right" wrapText="1"/>
    </xf>
    <xf numFmtId="4" fontId="19" fillId="0" borderId="60" xfId="0" applyNumberFormat="1" applyFont="1" applyBorder="1" applyAlignment="1">
      <alignment horizontal="center" wrapText="1"/>
    </xf>
    <xf numFmtId="0" fontId="18" fillId="0" borderId="64" xfId="0" applyFont="1" applyBorder="1" applyAlignment="1">
      <alignment wrapText="1"/>
    </xf>
    <xf numFmtId="0" fontId="19" fillId="0" borderId="64" xfId="0" applyFont="1" applyBorder="1" applyAlignment="1">
      <alignment wrapText="1"/>
    </xf>
    <xf numFmtId="0" fontId="19" fillId="0" borderId="65" xfId="0" applyFont="1" applyBorder="1" applyAlignment="1">
      <alignment wrapText="1"/>
    </xf>
    <xf numFmtId="0" fontId="10" fillId="3" borderId="5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1" fontId="10" fillId="3" borderId="26" xfId="0" applyNumberFormat="1" applyFont="1" applyFill="1" applyBorder="1" applyAlignment="1">
      <alignment horizontal="center" wrapText="1"/>
    </xf>
    <xf numFmtId="4" fontId="10" fillId="3" borderId="26" xfId="0" applyNumberFormat="1" applyFont="1" applyFill="1" applyBorder="1" applyAlignment="1">
      <alignment horizontal="right" wrapText="1"/>
    </xf>
    <xf numFmtId="0" fontId="10" fillId="3" borderId="32" xfId="0" applyFont="1" applyFill="1" applyBorder="1" applyAlignment="1">
      <alignment horizontal="center" wrapText="1"/>
    </xf>
    <xf numFmtId="0" fontId="28" fillId="0" borderId="66" xfId="0" applyFont="1" applyBorder="1" applyAlignment="1">
      <alignment/>
    </xf>
    <xf numFmtId="0" fontId="0" fillId="0" borderId="61" xfId="0" applyBorder="1" applyAlignment="1">
      <alignment/>
    </xf>
    <xf numFmtId="0" fontId="0" fillId="0" borderId="60" xfId="0" applyBorder="1" applyAlignment="1">
      <alignment/>
    </xf>
    <xf numFmtId="0" fontId="7" fillId="3" borderId="60" xfId="0" applyFont="1" applyFill="1" applyBorder="1" applyAlignment="1">
      <alignment horizontal="center" wrapText="1"/>
    </xf>
    <xf numFmtId="0" fontId="7" fillId="3" borderId="61" xfId="0" applyFont="1" applyFill="1" applyBorder="1" applyAlignment="1">
      <alignment horizontal="center" wrapText="1"/>
    </xf>
    <xf numFmtId="0" fontId="7" fillId="3" borderId="62" xfId="0" applyFont="1" applyFill="1" applyBorder="1" applyAlignment="1">
      <alignment horizontal="center" wrapText="1"/>
    </xf>
    <xf numFmtId="166" fontId="7" fillId="3" borderId="63" xfId="0" applyNumberFormat="1" applyFont="1" applyFill="1" applyBorder="1" applyAlignment="1">
      <alignment horizontal="center" wrapText="1"/>
    </xf>
    <xf numFmtId="4" fontId="8" fillId="0" borderId="60" xfId="0" applyNumberFormat="1" applyFont="1" applyBorder="1" applyAlignment="1">
      <alignment horizontal="right" wrapText="1"/>
    </xf>
    <xf numFmtId="4" fontId="8" fillId="0" borderId="60" xfId="0" applyNumberFormat="1" applyFont="1" applyBorder="1" applyAlignment="1">
      <alignment horizontal="center" wrapText="1"/>
    </xf>
    <xf numFmtId="0" fontId="8" fillId="0" borderId="64" xfId="0" applyFont="1" applyBorder="1" applyAlignment="1">
      <alignment wrapText="1"/>
    </xf>
    <xf numFmtId="0" fontId="8" fillId="0" borderId="67" xfId="0" applyFont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3" fontId="8" fillId="0" borderId="25" xfId="0" applyNumberFormat="1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4" fontId="8" fillId="0" borderId="7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4" fontId="10" fillId="0" borderId="2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6" fontId="8" fillId="0" borderId="69" xfId="0" applyNumberFormat="1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0" xfId="0" applyFont="1" applyFill="1" applyBorder="1" applyAlignment="1">
      <alignment horizontal="center" wrapText="1"/>
    </xf>
    <xf numFmtId="166" fontId="8" fillId="0" borderId="71" xfId="0" applyNumberFormat="1" applyFont="1" applyFill="1" applyBorder="1" applyAlignment="1">
      <alignment wrapText="1"/>
    </xf>
    <xf numFmtId="0" fontId="7" fillId="0" borderId="71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" fontId="8" fillId="0" borderId="4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/>
    </xf>
    <xf numFmtId="0" fontId="10" fillId="0" borderId="5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166" fontId="8" fillId="0" borderId="11" xfId="0" applyNumberFormat="1" applyFont="1" applyFill="1" applyBorder="1" applyAlignment="1">
      <alignment wrapText="1"/>
    </xf>
    <xf numFmtId="4" fontId="8" fillId="0" borderId="16" xfId="0" applyNumberFormat="1" applyFont="1" applyFill="1" applyBorder="1" applyAlignment="1">
      <alignment horizontal="right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28" xfId="0" applyNumberFormat="1" applyFont="1" applyFill="1" applyBorder="1" applyAlignment="1">
      <alignment horizontal="right" wrapText="1"/>
    </xf>
    <xf numFmtId="4" fontId="8" fillId="0" borderId="7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6" fontId="8" fillId="0" borderId="15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right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23" xfId="0" applyNumberFormat="1" applyFont="1" applyFill="1" applyBorder="1" applyAlignment="1">
      <alignment horizontal="right" wrapText="1"/>
    </xf>
    <xf numFmtId="4" fontId="8" fillId="0" borderId="24" xfId="0" applyNumberFormat="1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1"/>
  <sheetViews>
    <sheetView showGridLines="0" tabSelected="1" zoomScale="75" zoomScaleNormal="75" workbookViewId="0" topLeftCell="B142">
      <selection activeCell="Y168" sqref="Y168"/>
    </sheetView>
  </sheetViews>
  <sheetFormatPr defaultColWidth="9.140625" defaultRowHeight="12.75"/>
  <cols>
    <col min="1" max="1" width="3.28125" style="1" hidden="1" customWidth="1"/>
    <col min="2" max="2" width="4.7109375" style="1" customWidth="1"/>
    <col min="3" max="3" width="5.421875" style="1" customWidth="1"/>
    <col min="4" max="4" width="62.421875" style="1" bestFit="1" customWidth="1"/>
    <col min="5" max="5" width="22.28125" style="1" customWidth="1"/>
    <col min="6" max="6" width="4.421875" style="1" hidden="1" customWidth="1"/>
    <col min="7" max="7" width="5.421875" style="1" hidden="1" customWidth="1"/>
    <col min="8" max="8" width="12.00390625" style="1" hidden="1" customWidth="1"/>
    <col min="9" max="9" width="11.28125" style="1" hidden="1" customWidth="1"/>
    <col min="10" max="10" width="8.421875" style="2" hidden="1" customWidth="1"/>
    <col min="11" max="11" width="6.28125" style="1" hidden="1" customWidth="1"/>
    <col min="12" max="14" width="6.7109375" style="1" hidden="1" customWidth="1"/>
    <col min="15" max="15" width="6.8515625" style="3" hidden="1" customWidth="1"/>
    <col min="16" max="16" width="8.57421875" style="4" customWidth="1"/>
    <col min="17" max="17" width="12.00390625" style="4" customWidth="1"/>
    <col min="18" max="18" width="12.57421875" style="178" hidden="1" customWidth="1"/>
    <col min="19" max="19" width="10.421875" style="5" hidden="1" customWidth="1"/>
    <col min="20" max="20" width="11.8515625" style="1" hidden="1" customWidth="1"/>
    <col min="21" max="21" width="9.8515625" style="1" hidden="1" customWidth="1"/>
    <col min="22" max="22" width="14.57421875" style="1" hidden="1" customWidth="1"/>
    <col min="23" max="23" width="21.28125" style="1" customWidth="1"/>
    <col min="24" max="24" width="14.421875" style="1" customWidth="1"/>
    <col min="25" max="25" width="22.140625" style="1" customWidth="1"/>
    <col min="26" max="16384" width="9.140625" style="1" customWidth="1"/>
  </cols>
  <sheetData>
    <row r="1" spans="1:24" ht="22.5">
      <c r="A1" s="226" t="s">
        <v>292</v>
      </c>
      <c r="B1" s="227" t="s">
        <v>297</v>
      </c>
      <c r="C1" s="227"/>
      <c r="D1" s="227"/>
      <c r="E1" s="228"/>
      <c r="F1" s="229"/>
      <c r="G1" s="229"/>
      <c r="H1" s="94"/>
      <c r="I1" s="94"/>
      <c r="J1" s="95"/>
      <c r="K1" s="94"/>
      <c r="L1" s="94"/>
      <c r="M1" s="94"/>
      <c r="N1" s="94"/>
      <c r="O1" s="96"/>
      <c r="P1" s="97"/>
      <c r="Q1" s="78"/>
      <c r="R1" s="164"/>
      <c r="S1" s="98"/>
      <c r="T1" s="94"/>
      <c r="U1" s="94"/>
      <c r="V1" s="94"/>
      <c r="W1" s="258">
        <v>39757</v>
      </c>
      <c r="X1" s="6"/>
    </row>
    <row r="2" spans="1:24" ht="14.25" thickBot="1">
      <c r="A2" s="99"/>
      <c r="B2" s="75"/>
      <c r="C2" s="75"/>
      <c r="D2" s="75"/>
      <c r="E2" s="75"/>
      <c r="F2" s="75"/>
      <c r="G2" s="75"/>
      <c r="H2" s="75"/>
      <c r="I2" s="75"/>
      <c r="J2" s="76"/>
      <c r="K2" s="75"/>
      <c r="L2" s="75"/>
      <c r="M2" s="75"/>
      <c r="N2" s="75"/>
      <c r="O2" s="77"/>
      <c r="P2" s="78"/>
      <c r="Q2" s="78"/>
      <c r="R2" s="165"/>
      <c r="S2" s="79"/>
      <c r="T2" s="75"/>
      <c r="U2" s="75"/>
      <c r="V2" s="75"/>
      <c r="W2" s="80"/>
      <c r="X2" s="6"/>
    </row>
    <row r="3" spans="1:25" ht="14.25" thickBot="1">
      <c r="A3" s="277"/>
      <c r="B3" s="68" t="s">
        <v>0</v>
      </c>
      <c r="C3" s="283" t="s">
        <v>1</v>
      </c>
      <c r="D3" s="283" t="s">
        <v>2</v>
      </c>
      <c r="E3" s="283" t="s">
        <v>3</v>
      </c>
      <c r="F3" s="283" t="s">
        <v>4</v>
      </c>
      <c r="G3" s="283" t="s">
        <v>5</v>
      </c>
      <c r="H3" s="284" t="s">
        <v>6</v>
      </c>
      <c r="I3" s="7" t="s">
        <v>6</v>
      </c>
      <c r="J3" s="124" t="s">
        <v>7</v>
      </c>
      <c r="K3" s="283" t="s">
        <v>8</v>
      </c>
      <c r="L3" s="283" t="s">
        <v>9</v>
      </c>
      <c r="M3" s="283" t="s">
        <v>10</v>
      </c>
      <c r="N3" s="283" t="s">
        <v>11</v>
      </c>
      <c r="O3" s="285" t="s">
        <v>12</v>
      </c>
      <c r="P3" s="283" t="s">
        <v>13</v>
      </c>
      <c r="Q3" s="283" t="s">
        <v>14</v>
      </c>
      <c r="R3" s="286" t="s">
        <v>15</v>
      </c>
      <c r="S3" s="287" t="s">
        <v>16</v>
      </c>
      <c r="T3" s="179" t="s">
        <v>17</v>
      </c>
      <c r="U3" s="179"/>
      <c r="V3" s="179"/>
      <c r="W3" s="180" t="s">
        <v>18</v>
      </c>
      <c r="X3" s="6"/>
      <c r="Y3" s="8"/>
    </row>
    <row r="4" spans="1:25" ht="17.25" customHeight="1" thickBot="1">
      <c r="A4" s="87">
        <v>1</v>
      </c>
      <c r="B4" s="288"/>
      <c r="C4" s="9"/>
      <c r="D4" s="9"/>
      <c r="E4" s="10"/>
      <c r="F4" s="9"/>
      <c r="G4" s="9"/>
      <c r="H4" s="240" t="s">
        <v>294</v>
      </c>
      <c r="I4" s="123" t="s">
        <v>283</v>
      </c>
      <c r="J4" s="241">
        <v>2.32</v>
      </c>
      <c r="K4" s="9"/>
      <c r="L4" s="9"/>
      <c r="M4" s="9"/>
      <c r="N4" s="9"/>
      <c r="O4" s="12"/>
      <c r="P4" s="13"/>
      <c r="Q4" s="13"/>
      <c r="R4" s="166"/>
      <c r="S4" s="14"/>
      <c r="T4" s="181"/>
      <c r="U4" s="181"/>
      <c r="V4" s="181"/>
      <c r="W4" s="182"/>
      <c r="X4" s="6"/>
      <c r="Y4" s="17"/>
    </row>
    <row r="5" spans="1:25" ht="36" customHeight="1" thickBot="1">
      <c r="A5" s="87">
        <f>A4+1</f>
        <v>2</v>
      </c>
      <c r="B5" s="289" t="s">
        <v>19</v>
      </c>
      <c r="C5" s="242"/>
      <c r="D5" s="242"/>
      <c r="E5" s="242"/>
      <c r="F5" s="9"/>
      <c r="G5" s="9"/>
      <c r="H5" s="15"/>
      <c r="I5" s="125" t="s">
        <v>20</v>
      </c>
      <c r="J5" s="67"/>
      <c r="K5" s="9"/>
      <c r="L5" s="9"/>
      <c r="M5" s="9"/>
      <c r="N5" s="9"/>
      <c r="O5" s="12"/>
      <c r="P5" s="13"/>
      <c r="Q5" s="13"/>
      <c r="R5" s="166"/>
      <c r="S5" s="14"/>
      <c r="T5" s="181"/>
      <c r="U5" s="181"/>
      <c r="V5" s="181"/>
      <c r="W5" s="182"/>
      <c r="X5" s="6"/>
      <c r="Y5" s="17"/>
    </row>
    <row r="6" spans="1:24" ht="17.25" customHeight="1" thickBot="1">
      <c r="A6" s="87">
        <f>A5+1</f>
        <v>3</v>
      </c>
      <c r="B6" s="288"/>
      <c r="C6" s="9"/>
      <c r="D6" s="9"/>
      <c r="E6" s="9"/>
      <c r="F6" s="18" t="s">
        <v>2</v>
      </c>
      <c r="G6" s="18" t="s">
        <v>1</v>
      </c>
      <c r="H6" s="19" t="s">
        <v>21</v>
      </c>
      <c r="I6" s="126" t="s">
        <v>21</v>
      </c>
      <c r="J6" s="238" t="s">
        <v>3</v>
      </c>
      <c r="K6" s="9"/>
      <c r="L6" s="9"/>
      <c r="M6" s="9"/>
      <c r="N6" s="9"/>
      <c r="O6" s="12"/>
      <c r="P6" s="13"/>
      <c r="Q6" s="13"/>
      <c r="R6" s="166"/>
      <c r="S6" s="14"/>
      <c r="T6" s="181"/>
      <c r="U6" s="183"/>
      <c r="V6" s="183"/>
      <c r="W6" s="182"/>
      <c r="X6" s="6"/>
    </row>
    <row r="7" spans="1:24" s="26" customFormat="1" ht="13.5">
      <c r="A7" s="278">
        <v>4</v>
      </c>
      <c r="B7" s="290" t="s">
        <v>282</v>
      </c>
      <c r="C7" s="259" t="s">
        <v>23</v>
      </c>
      <c r="D7" s="259" t="s">
        <v>24</v>
      </c>
      <c r="E7" s="259" t="s">
        <v>25</v>
      </c>
      <c r="F7" s="259" t="s">
        <v>26</v>
      </c>
      <c r="G7" s="259" t="s">
        <v>27</v>
      </c>
      <c r="H7" s="100" t="s">
        <v>28</v>
      </c>
      <c r="I7" s="22" t="s">
        <v>28</v>
      </c>
      <c r="J7" s="261" t="s">
        <v>29</v>
      </c>
      <c r="K7" s="23" t="s">
        <v>28</v>
      </c>
      <c r="L7" s="259" t="s">
        <v>30</v>
      </c>
      <c r="M7" s="259" t="s">
        <v>31</v>
      </c>
      <c r="N7" s="259" t="s">
        <v>32</v>
      </c>
      <c r="O7" s="262" t="s">
        <v>33</v>
      </c>
      <c r="P7" s="259" t="s">
        <v>34</v>
      </c>
      <c r="Q7" s="259" t="s">
        <v>35</v>
      </c>
      <c r="R7" s="264" t="s">
        <v>36</v>
      </c>
      <c r="S7" s="24" t="s">
        <v>37</v>
      </c>
      <c r="T7" s="184" t="s">
        <v>38</v>
      </c>
      <c r="U7" s="185"/>
      <c r="V7" s="185"/>
      <c r="W7" s="266" t="s">
        <v>295</v>
      </c>
      <c r="X7" s="25"/>
    </row>
    <row r="8" spans="1:24" s="26" customFormat="1" ht="60.75" thickBot="1">
      <c r="A8" s="279"/>
      <c r="B8" s="291"/>
      <c r="C8" s="260"/>
      <c r="D8" s="260"/>
      <c r="E8" s="260"/>
      <c r="F8" s="260"/>
      <c r="G8" s="260"/>
      <c r="H8" s="27" t="s">
        <v>39</v>
      </c>
      <c r="I8" s="28" t="s">
        <v>40</v>
      </c>
      <c r="J8" s="261"/>
      <c r="K8" s="29" t="s">
        <v>41</v>
      </c>
      <c r="L8" s="260"/>
      <c r="M8" s="260"/>
      <c r="N8" s="260"/>
      <c r="O8" s="263"/>
      <c r="P8" s="260"/>
      <c r="Q8" s="260"/>
      <c r="R8" s="265"/>
      <c r="S8" s="30" t="s">
        <v>42</v>
      </c>
      <c r="T8" s="122">
        <v>2009</v>
      </c>
      <c r="U8" s="186" t="s">
        <v>43</v>
      </c>
      <c r="V8" s="186" t="s">
        <v>43</v>
      </c>
      <c r="W8" s="267"/>
      <c r="X8" s="25"/>
    </row>
    <row r="9" spans="1:24" ht="14.25" thickBot="1">
      <c r="A9" s="87">
        <f>A7+1</f>
        <v>5</v>
      </c>
      <c r="B9" s="297">
        <v>33</v>
      </c>
      <c r="C9" s="113">
        <v>1</v>
      </c>
      <c r="D9" s="101" t="s">
        <v>44</v>
      </c>
      <c r="E9" s="101" t="s">
        <v>45</v>
      </c>
      <c r="F9" s="113">
        <v>4</v>
      </c>
      <c r="G9" s="113">
        <v>1200</v>
      </c>
      <c r="H9" s="114">
        <v>91</v>
      </c>
      <c r="I9" s="115">
        <v>91</v>
      </c>
      <c r="J9" s="239">
        <f>$J$4*1.5</f>
        <v>3.4799999999999995</v>
      </c>
      <c r="K9" s="113">
        <v>130</v>
      </c>
      <c r="L9" s="60">
        <v>60</v>
      </c>
      <c r="M9" s="60">
        <v>30</v>
      </c>
      <c r="N9" s="60">
        <v>28</v>
      </c>
      <c r="O9" s="62">
        <f aca="true" t="shared" si="0" ref="O9:O21">(M9+N9)/2</f>
        <v>29</v>
      </c>
      <c r="P9" s="243">
        <f aca="true" t="shared" si="1" ref="P9:P21">O9+L9</f>
        <v>89</v>
      </c>
      <c r="Q9" s="347" t="s">
        <v>286</v>
      </c>
      <c r="R9" s="167">
        <f>7000000/239.64</f>
        <v>29210.482390252047</v>
      </c>
      <c r="S9" s="63">
        <f>I9*J9*F9*1000/10</f>
        <v>126671.99999999997</v>
      </c>
      <c r="T9" s="200">
        <v>41480</v>
      </c>
      <c r="U9" s="200">
        <f aca="true" t="shared" si="2" ref="U9:U21">IF(S9&gt;R9,S9,R9)</f>
        <v>126671.99999999997</v>
      </c>
      <c r="V9" s="200">
        <f aca="true" t="shared" si="3" ref="V9:V21">IF(U9&gt;T9,T9,U9)</f>
        <v>41480</v>
      </c>
      <c r="W9" s="348">
        <f aca="true" t="shared" si="4" ref="W9:W19">V9</f>
        <v>41480</v>
      </c>
      <c r="X9" s="6"/>
    </row>
    <row r="10" spans="1:24" ht="14.25" thickBot="1">
      <c r="A10" s="87">
        <f aca="true" t="shared" si="5" ref="A10:A23">A9+1</f>
        <v>6</v>
      </c>
      <c r="B10" s="297">
        <v>70</v>
      </c>
      <c r="C10" s="113">
        <v>1</v>
      </c>
      <c r="D10" s="101" t="s">
        <v>46</v>
      </c>
      <c r="E10" s="101" t="s">
        <v>47</v>
      </c>
      <c r="F10" s="113">
        <v>4</v>
      </c>
      <c r="G10" s="113">
        <v>1500</v>
      </c>
      <c r="H10" s="114">
        <v>20</v>
      </c>
      <c r="I10" s="115">
        <v>20</v>
      </c>
      <c r="J10" s="239">
        <f>$J$4</f>
        <v>2.32</v>
      </c>
      <c r="K10" s="113">
        <v>28</v>
      </c>
      <c r="L10" s="60">
        <v>55</v>
      </c>
      <c r="M10" s="60">
        <v>25</v>
      </c>
      <c r="N10" s="60">
        <v>28</v>
      </c>
      <c r="O10" s="62">
        <f t="shared" si="0"/>
        <v>26.5</v>
      </c>
      <c r="P10" s="62">
        <f t="shared" si="1"/>
        <v>81.5</v>
      </c>
      <c r="Q10" s="60" t="s">
        <v>48</v>
      </c>
      <c r="R10" s="167">
        <v>8319</v>
      </c>
      <c r="S10" s="63">
        <f>(F10*1000*I10*J10/10)*0.85</f>
        <v>15776</v>
      </c>
      <c r="T10" s="200">
        <v>12450</v>
      </c>
      <c r="U10" s="200">
        <f t="shared" si="2"/>
        <v>15776</v>
      </c>
      <c r="V10" s="200">
        <f t="shared" si="3"/>
        <v>12450</v>
      </c>
      <c r="W10" s="348">
        <f t="shared" si="4"/>
        <v>12450</v>
      </c>
      <c r="X10" s="6"/>
    </row>
    <row r="11" spans="1:24" ht="36.75" thickBot="1">
      <c r="A11" s="87">
        <f t="shared" si="5"/>
        <v>7</v>
      </c>
      <c r="B11" s="297">
        <v>58</v>
      </c>
      <c r="C11" s="113">
        <v>1</v>
      </c>
      <c r="D11" s="101" t="s">
        <v>49</v>
      </c>
      <c r="E11" s="101" t="s">
        <v>50</v>
      </c>
      <c r="F11" s="113">
        <v>2</v>
      </c>
      <c r="G11" s="113">
        <v>700</v>
      </c>
      <c r="H11" s="114">
        <v>66</v>
      </c>
      <c r="I11" s="115">
        <v>66</v>
      </c>
      <c r="J11" s="239">
        <f>$J$4</f>
        <v>2.32</v>
      </c>
      <c r="K11" s="113">
        <v>70</v>
      </c>
      <c r="L11" s="60">
        <v>55</v>
      </c>
      <c r="M11" s="60">
        <v>24</v>
      </c>
      <c r="N11" s="60">
        <v>28</v>
      </c>
      <c r="O11" s="62">
        <f t="shared" si="0"/>
        <v>26</v>
      </c>
      <c r="P11" s="62">
        <f t="shared" si="1"/>
        <v>81</v>
      </c>
      <c r="Q11" s="60" t="s">
        <v>48</v>
      </c>
      <c r="R11" s="167">
        <v>16831</v>
      </c>
      <c r="S11" s="63">
        <f>(F11*G11*I11*J11/10)*0.85</f>
        <v>18221.279999999995</v>
      </c>
      <c r="T11" s="200">
        <v>22000</v>
      </c>
      <c r="U11" s="200">
        <f t="shared" si="2"/>
        <v>18221.279999999995</v>
      </c>
      <c r="V11" s="200">
        <f t="shared" si="3"/>
        <v>18221.279999999995</v>
      </c>
      <c r="W11" s="348">
        <f t="shared" si="4"/>
        <v>18221.279999999995</v>
      </c>
      <c r="X11" s="6"/>
    </row>
    <row r="12" spans="1:24" ht="14.25" thickBot="1">
      <c r="A12" s="87">
        <f t="shared" si="5"/>
        <v>8</v>
      </c>
      <c r="B12" s="297">
        <v>35</v>
      </c>
      <c r="C12" s="113">
        <v>1</v>
      </c>
      <c r="D12" s="101" t="s">
        <v>51</v>
      </c>
      <c r="E12" s="101" t="s">
        <v>52</v>
      </c>
      <c r="F12" s="113">
        <v>2</v>
      </c>
      <c r="G12" s="113">
        <v>600</v>
      </c>
      <c r="H12" s="114">
        <v>24</v>
      </c>
      <c r="I12" s="115">
        <v>24</v>
      </c>
      <c r="J12" s="239">
        <f>$J$4</f>
        <v>2.32</v>
      </c>
      <c r="K12" s="113">
        <v>28</v>
      </c>
      <c r="L12" s="60">
        <v>55</v>
      </c>
      <c r="M12" s="60">
        <v>29</v>
      </c>
      <c r="N12" s="60">
        <v>22</v>
      </c>
      <c r="O12" s="62">
        <f t="shared" si="0"/>
        <v>25.5</v>
      </c>
      <c r="P12" s="62">
        <f t="shared" si="1"/>
        <v>80.5</v>
      </c>
      <c r="Q12" s="60" t="s">
        <v>48</v>
      </c>
      <c r="R12" s="167">
        <f>2400000/239.64</f>
        <v>10015.022533800702</v>
      </c>
      <c r="S12" s="63">
        <f>(F12*G12*I12*J12/10)*0.85</f>
        <v>5679.360000000001</v>
      </c>
      <c r="T12" s="200">
        <v>15760</v>
      </c>
      <c r="U12" s="200">
        <f t="shared" si="2"/>
        <v>10015.022533800702</v>
      </c>
      <c r="V12" s="200">
        <f t="shared" si="3"/>
        <v>10015.022533800702</v>
      </c>
      <c r="W12" s="348">
        <f t="shared" si="4"/>
        <v>10015.022533800702</v>
      </c>
      <c r="X12" s="6"/>
    </row>
    <row r="13" spans="1:24" ht="24.75" thickBot="1">
      <c r="A13" s="87">
        <f t="shared" si="5"/>
        <v>9</v>
      </c>
      <c r="B13" s="297">
        <v>114</v>
      </c>
      <c r="C13" s="113">
        <v>1</v>
      </c>
      <c r="D13" s="101" t="s">
        <v>53</v>
      </c>
      <c r="E13" s="101" t="s">
        <v>54</v>
      </c>
      <c r="F13" s="113">
        <v>6</v>
      </c>
      <c r="G13" s="113">
        <v>1250</v>
      </c>
      <c r="H13" s="114">
        <v>16</v>
      </c>
      <c r="I13" s="115">
        <v>16</v>
      </c>
      <c r="J13" s="116">
        <f>$J$4</f>
        <v>2.32</v>
      </c>
      <c r="K13" s="113">
        <v>24</v>
      </c>
      <c r="L13" s="60">
        <v>45</v>
      </c>
      <c r="M13" s="60">
        <v>28</v>
      </c>
      <c r="N13" s="60">
        <v>26</v>
      </c>
      <c r="O13" s="62">
        <f t="shared" si="0"/>
        <v>27</v>
      </c>
      <c r="P13" s="62">
        <f t="shared" si="1"/>
        <v>72</v>
      </c>
      <c r="Q13" s="60" t="s">
        <v>55</v>
      </c>
      <c r="R13" s="167">
        <v>6938</v>
      </c>
      <c r="S13" s="63">
        <f>(4*1000*I13*J13/10)*0.75</f>
        <v>11136</v>
      </c>
      <c r="T13" s="200">
        <v>9000</v>
      </c>
      <c r="U13" s="200">
        <f t="shared" si="2"/>
        <v>11136</v>
      </c>
      <c r="V13" s="200">
        <f t="shared" si="3"/>
        <v>9000</v>
      </c>
      <c r="W13" s="348">
        <f t="shared" si="4"/>
        <v>9000</v>
      </c>
      <c r="X13" s="6"/>
    </row>
    <row r="14" spans="1:24" ht="14.25" thickBot="1">
      <c r="A14" s="87">
        <f t="shared" si="5"/>
        <v>10</v>
      </c>
      <c r="B14" s="297">
        <v>75</v>
      </c>
      <c r="C14" s="113">
        <v>1</v>
      </c>
      <c r="D14" s="101" t="s">
        <v>56</v>
      </c>
      <c r="E14" s="101" t="s">
        <v>57</v>
      </c>
      <c r="F14" s="113">
        <v>2</v>
      </c>
      <c r="G14" s="113">
        <v>500</v>
      </c>
      <c r="H14" s="114">
        <v>26</v>
      </c>
      <c r="I14" s="115">
        <v>20</v>
      </c>
      <c r="J14" s="116">
        <f>$J$4</f>
        <v>2.32</v>
      </c>
      <c r="K14" s="113">
        <v>30</v>
      </c>
      <c r="L14" s="60">
        <v>48</v>
      </c>
      <c r="M14" s="60">
        <v>26</v>
      </c>
      <c r="N14" s="60">
        <v>20</v>
      </c>
      <c r="O14" s="62">
        <f t="shared" si="0"/>
        <v>23</v>
      </c>
      <c r="P14" s="62">
        <f t="shared" si="1"/>
        <v>71</v>
      </c>
      <c r="Q14" s="60" t="s">
        <v>55</v>
      </c>
      <c r="R14" s="167">
        <f>1500000/239.64</f>
        <v>6259.389083625439</v>
      </c>
      <c r="S14" s="63">
        <f>(F14*G14*I14*J14/10)*0.75</f>
        <v>3480</v>
      </c>
      <c r="T14" s="200">
        <v>8800</v>
      </c>
      <c r="U14" s="200">
        <f t="shared" si="2"/>
        <v>6259.389083625439</v>
      </c>
      <c r="V14" s="200">
        <f t="shared" si="3"/>
        <v>6259.389083625439</v>
      </c>
      <c r="W14" s="348">
        <f t="shared" si="4"/>
        <v>6259.389083625439</v>
      </c>
      <c r="X14" s="6"/>
    </row>
    <row r="15" spans="1:24" ht="24.75" thickBot="1">
      <c r="A15" s="87">
        <f t="shared" si="5"/>
        <v>11</v>
      </c>
      <c r="B15" s="297">
        <v>10</v>
      </c>
      <c r="C15" s="113">
        <v>1</v>
      </c>
      <c r="D15" s="101" t="s">
        <v>58</v>
      </c>
      <c r="E15" s="101" t="s">
        <v>59</v>
      </c>
      <c r="F15" s="113">
        <v>2</v>
      </c>
      <c r="G15" s="113">
        <v>500</v>
      </c>
      <c r="H15" s="114">
        <v>9</v>
      </c>
      <c r="I15" s="115">
        <v>9</v>
      </c>
      <c r="J15" s="116">
        <f>$J$4</f>
        <v>2.32</v>
      </c>
      <c r="K15" s="113">
        <v>10</v>
      </c>
      <c r="L15" s="60">
        <v>50</v>
      </c>
      <c r="M15" s="60">
        <v>24</v>
      </c>
      <c r="N15" s="60">
        <v>18</v>
      </c>
      <c r="O15" s="62">
        <f t="shared" si="0"/>
        <v>21</v>
      </c>
      <c r="P15" s="62">
        <f t="shared" si="1"/>
        <v>71</v>
      </c>
      <c r="Q15" s="60" t="s">
        <v>55</v>
      </c>
      <c r="R15" s="167">
        <v>2439</v>
      </c>
      <c r="S15" s="63">
        <f>(F15*G15*I15*J15/10)*0.75</f>
        <v>1566</v>
      </c>
      <c r="T15" s="200">
        <v>3600</v>
      </c>
      <c r="U15" s="200">
        <f t="shared" si="2"/>
        <v>2439</v>
      </c>
      <c r="V15" s="200">
        <f t="shared" si="3"/>
        <v>2439</v>
      </c>
      <c r="W15" s="348">
        <f t="shared" si="4"/>
        <v>2439</v>
      </c>
      <c r="X15" s="6"/>
    </row>
    <row r="16" spans="1:24" ht="24.75" thickBot="1">
      <c r="A16" s="87">
        <f t="shared" si="5"/>
        <v>12</v>
      </c>
      <c r="B16" s="297">
        <v>42</v>
      </c>
      <c r="C16" s="113">
        <v>1</v>
      </c>
      <c r="D16" s="101" t="s">
        <v>60</v>
      </c>
      <c r="E16" s="101" t="s">
        <v>61</v>
      </c>
      <c r="F16" s="113">
        <v>2</v>
      </c>
      <c r="G16" s="113">
        <v>530</v>
      </c>
      <c r="H16" s="114">
        <v>32</v>
      </c>
      <c r="I16" s="115">
        <v>20</v>
      </c>
      <c r="J16" s="116">
        <f>$J$4</f>
        <v>2.32</v>
      </c>
      <c r="K16" s="113">
        <v>35</v>
      </c>
      <c r="L16" s="60">
        <v>48</v>
      </c>
      <c r="M16" s="60">
        <v>25</v>
      </c>
      <c r="N16" s="60">
        <v>16</v>
      </c>
      <c r="O16" s="62">
        <f t="shared" si="0"/>
        <v>20.5</v>
      </c>
      <c r="P16" s="62">
        <f t="shared" si="1"/>
        <v>68.5</v>
      </c>
      <c r="Q16" s="60" t="s">
        <v>55</v>
      </c>
      <c r="R16" s="167">
        <v>5063</v>
      </c>
      <c r="S16" s="63">
        <f>(F16*G16*I16*J16/10)*0.75</f>
        <v>3688.7999999999997</v>
      </c>
      <c r="T16" s="200">
        <v>6000</v>
      </c>
      <c r="U16" s="200">
        <f t="shared" si="2"/>
        <v>5063</v>
      </c>
      <c r="V16" s="200">
        <f t="shared" si="3"/>
        <v>5063</v>
      </c>
      <c r="W16" s="348">
        <f t="shared" si="4"/>
        <v>5063</v>
      </c>
      <c r="X16" s="6"/>
    </row>
    <row r="17" spans="1:24" ht="24.75" thickBot="1">
      <c r="A17" s="87">
        <f t="shared" si="5"/>
        <v>13</v>
      </c>
      <c r="B17" s="297">
        <v>49</v>
      </c>
      <c r="C17" s="113">
        <v>1</v>
      </c>
      <c r="D17" s="101" t="s">
        <v>62</v>
      </c>
      <c r="E17" s="101" t="s">
        <v>63</v>
      </c>
      <c r="F17" s="113">
        <v>2</v>
      </c>
      <c r="G17" s="113">
        <v>300</v>
      </c>
      <c r="H17" s="114">
        <v>31</v>
      </c>
      <c r="I17" s="115">
        <v>20</v>
      </c>
      <c r="J17" s="116">
        <f>$J$4</f>
        <v>2.32</v>
      </c>
      <c r="K17" s="113">
        <v>32</v>
      </c>
      <c r="L17" s="60">
        <v>45</v>
      </c>
      <c r="M17" s="60">
        <v>24</v>
      </c>
      <c r="N17" s="60">
        <v>23</v>
      </c>
      <c r="O17" s="62">
        <f t="shared" si="0"/>
        <v>23.5</v>
      </c>
      <c r="P17" s="62">
        <f t="shared" si="1"/>
        <v>68.5</v>
      </c>
      <c r="Q17" s="60" t="s">
        <v>55</v>
      </c>
      <c r="R17" s="167">
        <v>5102</v>
      </c>
      <c r="S17" s="63">
        <f>(F17*G17*I17*J17/10)*0.75</f>
        <v>2087.9999999999995</v>
      </c>
      <c r="T17" s="200">
        <v>7177.2</v>
      </c>
      <c r="U17" s="200">
        <f t="shared" si="2"/>
        <v>5102</v>
      </c>
      <c r="V17" s="200">
        <f t="shared" si="3"/>
        <v>5102</v>
      </c>
      <c r="W17" s="348">
        <f t="shared" si="4"/>
        <v>5102</v>
      </c>
      <c r="X17" s="6"/>
    </row>
    <row r="18" spans="1:24" ht="24.75" thickBot="1">
      <c r="A18" s="87">
        <f t="shared" si="5"/>
        <v>14</v>
      </c>
      <c r="B18" s="297">
        <v>47</v>
      </c>
      <c r="C18" s="113">
        <v>1</v>
      </c>
      <c r="D18" s="101" t="s">
        <v>64</v>
      </c>
      <c r="E18" s="102" t="s">
        <v>65</v>
      </c>
      <c r="F18" s="113">
        <v>2</v>
      </c>
      <c r="G18" s="113">
        <v>700</v>
      </c>
      <c r="H18" s="114">
        <v>51</v>
      </c>
      <c r="I18" s="115">
        <v>20</v>
      </c>
      <c r="J18" s="116">
        <f>$J$4</f>
        <v>2.32</v>
      </c>
      <c r="K18" s="113">
        <v>51</v>
      </c>
      <c r="L18" s="60">
        <v>45</v>
      </c>
      <c r="M18" s="60">
        <v>23</v>
      </c>
      <c r="N18" s="60">
        <v>21</v>
      </c>
      <c r="O18" s="62">
        <f t="shared" si="0"/>
        <v>22</v>
      </c>
      <c r="P18" s="349">
        <f t="shared" si="1"/>
        <v>67</v>
      </c>
      <c r="Q18" s="60" t="s">
        <v>55</v>
      </c>
      <c r="R18" s="167">
        <f>2930457/239.64</f>
        <v>12228.580370555834</v>
      </c>
      <c r="S18" s="63">
        <f>(F18*G18*I18*J18/10)*0.75</f>
        <v>4871.999999999999</v>
      </c>
      <c r="T18" s="200">
        <v>18107</v>
      </c>
      <c r="U18" s="200">
        <f t="shared" si="2"/>
        <v>12228.580370555834</v>
      </c>
      <c r="V18" s="200">
        <f t="shared" si="3"/>
        <v>12228.580370555834</v>
      </c>
      <c r="W18" s="348">
        <f t="shared" si="4"/>
        <v>12228.580370555834</v>
      </c>
      <c r="X18" s="6"/>
    </row>
    <row r="19" spans="1:24" ht="14.25" thickBot="1">
      <c r="A19" s="87">
        <f t="shared" si="5"/>
        <v>15</v>
      </c>
      <c r="B19" s="297">
        <v>76</v>
      </c>
      <c r="C19" s="113">
        <v>1</v>
      </c>
      <c r="D19" s="101" t="s">
        <v>60</v>
      </c>
      <c r="E19" s="101" t="s">
        <v>66</v>
      </c>
      <c r="F19" s="113">
        <v>3</v>
      </c>
      <c r="G19" s="113">
        <v>600</v>
      </c>
      <c r="H19" s="114">
        <v>50</v>
      </c>
      <c r="I19" s="115">
        <v>20</v>
      </c>
      <c r="J19" s="116">
        <f>$J$4</f>
        <v>2.32</v>
      </c>
      <c r="K19" s="113">
        <v>70</v>
      </c>
      <c r="L19" s="60">
        <v>40</v>
      </c>
      <c r="M19" s="60">
        <v>25</v>
      </c>
      <c r="N19" s="60">
        <v>18</v>
      </c>
      <c r="O19" s="62">
        <f t="shared" si="0"/>
        <v>21.5</v>
      </c>
      <c r="P19" s="62">
        <f t="shared" si="1"/>
        <v>61.5</v>
      </c>
      <c r="Q19" s="60" t="s">
        <v>67</v>
      </c>
      <c r="R19" s="167">
        <v>10279</v>
      </c>
      <c r="S19" s="63">
        <f>(F19*G19*I19*J19/10)*0.5</f>
        <v>4176</v>
      </c>
      <c r="T19" s="200">
        <v>13113</v>
      </c>
      <c r="U19" s="200">
        <f t="shared" si="2"/>
        <v>10279</v>
      </c>
      <c r="V19" s="200">
        <f t="shared" si="3"/>
        <v>10279</v>
      </c>
      <c r="W19" s="348">
        <f t="shared" si="4"/>
        <v>10279</v>
      </c>
      <c r="X19" s="6"/>
    </row>
    <row r="20" spans="1:24" ht="14.25" thickBot="1">
      <c r="A20" s="87">
        <f t="shared" si="5"/>
        <v>16</v>
      </c>
      <c r="B20" s="297">
        <v>109</v>
      </c>
      <c r="C20" s="113">
        <v>1</v>
      </c>
      <c r="D20" s="101" t="s">
        <v>68</v>
      </c>
      <c r="E20" s="101" t="s">
        <v>69</v>
      </c>
      <c r="F20" s="113">
        <v>2</v>
      </c>
      <c r="G20" s="113">
        <v>300</v>
      </c>
      <c r="H20" s="114">
        <v>6</v>
      </c>
      <c r="I20" s="115">
        <v>6</v>
      </c>
      <c r="J20" s="116">
        <f>$J$4</f>
        <v>2.32</v>
      </c>
      <c r="K20" s="113">
        <v>8</v>
      </c>
      <c r="L20" s="60">
        <v>40</v>
      </c>
      <c r="M20" s="60">
        <v>24</v>
      </c>
      <c r="N20" s="60">
        <v>19</v>
      </c>
      <c r="O20" s="62">
        <f t="shared" si="0"/>
        <v>21.5</v>
      </c>
      <c r="P20" s="62">
        <f t="shared" si="1"/>
        <v>61.5</v>
      </c>
      <c r="Q20" s="60" t="s">
        <v>67</v>
      </c>
      <c r="R20" s="167">
        <v>0</v>
      </c>
      <c r="S20" s="63">
        <f>(F20*G20*I20*J20/10)*$J$5</f>
        <v>0</v>
      </c>
      <c r="T20" s="200">
        <v>1500</v>
      </c>
      <c r="U20" s="200">
        <f t="shared" si="2"/>
        <v>0</v>
      </c>
      <c r="V20" s="200">
        <f t="shared" si="3"/>
        <v>0</v>
      </c>
      <c r="W20" s="348">
        <v>1000</v>
      </c>
      <c r="X20" s="6"/>
    </row>
    <row r="21" spans="1:24" ht="24.75" thickBot="1">
      <c r="A21" s="87">
        <f t="shared" si="5"/>
        <v>17</v>
      </c>
      <c r="B21" s="297">
        <v>113</v>
      </c>
      <c r="C21" s="113">
        <v>1</v>
      </c>
      <c r="D21" s="101" t="s">
        <v>53</v>
      </c>
      <c r="E21" s="350" t="s">
        <v>70</v>
      </c>
      <c r="F21" s="113">
        <v>2</v>
      </c>
      <c r="G21" s="113">
        <v>100</v>
      </c>
      <c r="H21" s="114">
        <v>40</v>
      </c>
      <c r="I21" s="115">
        <v>20</v>
      </c>
      <c r="J21" s="116">
        <f>$J$4</f>
        <v>2.32</v>
      </c>
      <c r="K21" s="113">
        <v>40</v>
      </c>
      <c r="L21" s="60">
        <v>35</v>
      </c>
      <c r="M21" s="60">
        <v>21</v>
      </c>
      <c r="N21" s="60">
        <v>25</v>
      </c>
      <c r="O21" s="62">
        <f t="shared" si="0"/>
        <v>23</v>
      </c>
      <c r="P21" s="62">
        <f t="shared" si="1"/>
        <v>58</v>
      </c>
      <c r="Q21" s="60" t="s">
        <v>67</v>
      </c>
      <c r="R21" s="351">
        <v>2123</v>
      </c>
      <c r="S21" s="63">
        <f>(F21*G21*I21*J21/10)*$J$5</f>
        <v>0</v>
      </c>
      <c r="T21" s="200">
        <v>3600</v>
      </c>
      <c r="U21" s="200">
        <f t="shared" si="2"/>
        <v>2123</v>
      </c>
      <c r="V21" s="200">
        <f t="shared" si="3"/>
        <v>2123</v>
      </c>
      <c r="W21" s="348">
        <f>V21</f>
        <v>2123</v>
      </c>
      <c r="X21" s="6"/>
    </row>
    <row r="22" spans="1:24" ht="19.5" thickBot="1">
      <c r="A22" s="87">
        <f t="shared" si="5"/>
        <v>18</v>
      </c>
      <c r="B22" s="288"/>
      <c r="C22" s="9"/>
      <c r="D22" s="15"/>
      <c r="E22" s="36"/>
      <c r="F22" s="9"/>
      <c r="G22" s="9"/>
      <c r="H22" s="15"/>
      <c r="I22" s="16"/>
      <c r="J22" s="11"/>
      <c r="K22" s="9"/>
      <c r="L22" s="9"/>
      <c r="M22" s="9"/>
      <c r="N22" s="9"/>
      <c r="O22" s="12"/>
      <c r="P22" s="13"/>
      <c r="Q22" s="37" t="s">
        <v>71</v>
      </c>
      <c r="R22" s="168"/>
      <c r="S22" s="38"/>
      <c r="T22" s="188"/>
      <c r="U22" s="188"/>
      <c r="V22" s="188"/>
      <c r="W22" s="189">
        <f>SUM(W9:W21)</f>
        <v>135660.27198798198</v>
      </c>
      <c r="X22" s="6"/>
    </row>
    <row r="23" spans="1:24" ht="14.25" thickBot="1">
      <c r="A23" s="87">
        <f t="shared" si="5"/>
        <v>19</v>
      </c>
      <c r="B23" s="288"/>
      <c r="C23" s="9"/>
      <c r="D23" s="39" t="s">
        <v>72</v>
      </c>
      <c r="E23" s="40"/>
      <c r="F23" s="9"/>
      <c r="G23" s="9"/>
      <c r="H23" s="15"/>
      <c r="I23" s="16"/>
      <c r="J23" s="11"/>
      <c r="K23" s="9"/>
      <c r="L23" s="9"/>
      <c r="M23" s="9"/>
      <c r="N23" s="9"/>
      <c r="O23" s="12"/>
      <c r="P23" s="13"/>
      <c r="Q23" s="66"/>
      <c r="R23" s="166"/>
      <c r="S23" s="14"/>
      <c r="T23" s="181"/>
      <c r="U23" s="181"/>
      <c r="V23" s="181"/>
      <c r="W23" s="182"/>
      <c r="X23" s="6"/>
    </row>
    <row r="24" spans="1:24" ht="14.25" thickBot="1">
      <c r="A24" s="87"/>
      <c r="B24" s="288"/>
      <c r="C24" s="9"/>
      <c r="D24" s="237">
        <v>152753.56</v>
      </c>
      <c r="E24" s="42"/>
      <c r="F24" s="9"/>
      <c r="G24" s="9"/>
      <c r="H24" s="15"/>
      <c r="I24" s="16"/>
      <c r="J24" s="11"/>
      <c r="K24" s="9"/>
      <c r="L24" s="9"/>
      <c r="M24" s="9"/>
      <c r="N24" s="9"/>
      <c r="O24" s="12"/>
      <c r="P24" s="144"/>
      <c r="Q24" s="65"/>
      <c r="R24" s="166"/>
      <c r="S24" s="14"/>
      <c r="T24" s="181"/>
      <c r="U24" s="183"/>
      <c r="V24" s="183"/>
      <c r="W24" s="190"/>
      <c r="X24" s="6"/>
    </row>
    <row r="25" spans="1:24" ht="17.25" thickBot="1">
      <c r="A25" s="87"/>
      <c r="B25" s="288"/>
      <c r="C25" s="9"/>
      <c r="D25" s="41"/>
      <c r="E25" s="40"/>
      <c r="F25" s="9"/>
      <c r="G25" s="9"/>
      <c r="H25" s="15"/>
      <c r="I25" s="16"/>
      <c r="J25" s="11"/>
      <c r="K25" s="9"/>
      <c r="L25" s="9"/>
      <c r="M25" s="9"/>
      <c r="N25" s="9"/>
      <c r="O25" s="235"/>
      <c r="P25" s="246"/>
      <c r="Q25" s="92" t="s">
        <v>284</v>
      </c>
      <c r="R25" s="166"/>
      <c r="S25" s="14"/>
      <c r="T25" s="181"/>
      <c r="U25" s="191"/>
      <c r="V25" s="191"/>
      <c r="W25" s="193">
        <f>SUM(W13:W21)</f>
        <v>53493.96945418127</v>
      </c>
      <c r="X25" s="6"/>
    </row>
    <row r="26" spans="1:24" ht="18" thickBot="1">
      <c r="A26" s="281" t="s">
        <v>73</v>
      </c>
      <c r="B26" s="294" t="s">
        <v>74</v>
      </c>
      <c r="C26" s="245"/>
      <c r="D26" s="245"/>
      <c r="E26" s="69"/>
      <c r="F26" s="69"/>
      <c r="G26" s="69"/>
      <c r="H26" s="70"/>
      <c r="I26" s="71"/>
      <c r="J26" s="72"/>
      <c r="K26" s="69"/>
      <c r="L26" s="69"/>
      <c r="M26" s="69"/>
      <c r="N26" s="69"/>
      <c r="O26" s="74"/>
      <c r="P26" s="73"/>
      <c r="Q26" s="73"/>
      <c r="R26" s="169"/>
      <c r="S26" s="90"/>
      <c r="T26" s="194"/>
      <c r="U26" s="195"/>
      <c r="V26" s="194"/>
      <c r="W26" s="196"/>
      <c r="X26" s="6"/>
    </row>
    <row r="27" spans="1:24" ht="15" customHeight="1" thickBot="1">
      <c r="A27" s="87" t="s">
        <v>75</v>
      </c>
      <c r="B27" s="288"/>
      <c r="C27" s="9"/>
      <c r="D27" s="9"/>
      <c r="E27" s="9"/>
      <c r="F27" s="18" t="s">
        <v>2</v>
      </c>
      <c r="G27" s="18" t="s">
        <v>1</v>
      </c>
      <c r="H27" s="19" t="s">
        <v>21</v>
      </c>
      <c r="I27" s="20" t="s">
        <v>21</v>
      </c>
      <c r="J27" s="21" t="s">
        <v>3</v>
      </c>
      <c r="K27" s="9"/>
      <c r="L27" s="9"/>
      <c r="M27" s="9"/>
      <c r="N27" s="9"/>
      <c r="O27" s="12"/>
      <c r="P27" s="13"/>
      <c r="Q27" s="13"/>
      <c r="R27" s="166"/>
      <c r="S27" s="14"/>
      <c r="T27" s="181"/>
      <c r="U27" s="181"/>
      <c r="V27" s="181"/>
      <c r="W27" s="182"/>
      <c r="X27" s="6"/>
    </row>
    <row r="28" spans="1:24" ht="18" customHeight="1">
      <c r="A28" s="278" t="s">
        <v>76</v>
      </c>
      <c r="B28" s="295" t="s">
        <v>22</v>
      </c>
      <c r="C28" s="247" t="s">
        <v>23</v>
      </c>
      <c r="D28" s="247" t="s">
        <v>24</v>
      </c>
      <c r="E28" s="247" t="s">
        <v>25</v>
      </c>
      <c r="F28" s="247" t="s">
        <v>26</v>
      </c>
      <c r="G28" s="247" t="s">
        <v>27</v>
      </c>
      <c r="H28" s="81" t="s">
        <v>28</v>
      </c>
      <c r="I28" s="43" t="s">
        <v>28</v>
      </c>
      <c r="J28" s="268" t="s">
        <v>29</v>
      </c>
      <c r="K28" s="44" t="s">
        <v>28</v>
      </c>
      <c r="L28" s="247" t="s">
        <v>30</v>
      </c>
      <c r="M28" s="247" t="s">
        <v>31</v>
      </c>
      <c r="N28" s="247" t="s">
        <v>32</v>
      </c>
      <c r="O28" s="270" t="s">
        <v>33</v>
      </c>
      <c r="P28" s="247" t="s">
        <v>34</v>
      </c>
      <c r="Q28" s="247" t="s">
        <v>35</v>
      </c>
      <c r="R28" s="272" t="s">
        <v>36</v>
      </c>
      <c r="S28" s="45" t="s">
        <v>37</v>
      </c>
      <c r="T28" s="197" t="s">
        <v>38</v>
      </c>
      <c r="U28" s="198"/>
      <c r="V28" s="198"/>
      <c r="W28" s="274" t="s">
        <v>295</v>
      </c>
      <c r="X28" s="6"/>
    </row>
    <row r="29" spans="1:24" ht="24.75" thickBot="1">
      <c r="A29" s="279"/>
      <c r="B29" s="296"/>
      <c r="C29" s="248"/>
      <c r="D29" s="248"/>
      <c r="E29" s="248"/>
      <c r="F29" s="248"/>
      <c r="G29" s="248"/>
      <c r="H29" s="46" t="s">
        <v>39</v>
      </c>
      <c r="I29" s="47" t="s">
        <v>39</v>
      </c>
      <c r="J29" s="269"/>
      <c r="K29" s="48" t="s">
        <v>41</v>
      </c>
      <c r="L29" s="248"/>
      <c r="M29" s="248"/>
      <c r="N29" s="248"/>
      <c r="O29" s="271"/>
      <c r="P29" s="248"/>
      <c r="Q29" s="248"/>
      <c r="R29" s="273"/>
      <c r="S29" s="49" t="s">
        <v>42</v>
      </c>
      <c r="T29" s="121">
        <v>2009</v>
      </c>
      <c r="U29" s="199" t="s">
        <v>43</v>
      </c>
      <c r="V29" s="199" t="s">
        <v>43</v>
      </c>
      <c r="W29" s="275"/>
      <c r="X29" s="6"/>
    </row>
    <row r="30" spans="1:24" ht="14.25" thickBot="1">
      <c r="A30" s="87">
        <v>23</v>
      </c>
      <c r="B30" s="297">
        <v>73</v>
      </c>
      <c r="C30" s="113">
        <v>2</v>
      </c>
      <c r="D30" s="101" t="s">
        <v>77</v>
      </c>
      <c r="E30" s="101" t="s">
        <v>78</v>
      </c>
      <c r="F30" s="113">
        <v>11</v>
      </c>
      <c r="G30" s="113">
        <v>600</v>
      </c>
      <c r="H30" s="114">
        <v>330</v>
      </c>
      <c r="I30" s="115">
        <v>330</v>
      </c>
      <c r="J30" s="116">
        <f>$J$4*1.5</f>
        <v>3.4799999999999995</v>
      </c>
      <c r="K30" s="113">
        <v>350</v>
      </c>
      <c r="L30" s="61">
        <v>65</v>
      </c>
      <c r="M30" s="61">
        <v>32</v>
      </c>
      <c r="N30" s="61">
        <v>33</v>
      </c>
      <c r="O30" s="62">
        <f aca="true" t="shared" si="6" ref="O30:O40">(N30+M30)/2</f>
        <v>32.5</v>
      </c>
      <c r="P30" s="243">
        <f aca="true" t="shared" si="7" ref="P30:P40">O30+L30</f>
        <v>97.5</v>
      </c>
      <c r="Q30" s="60" t="s">
        <v>286</v>
      </c>
      <c r="R30" s="167">
        <f>6500000/239.64</f>
        <v>27124.0193623769</v>
      </c>
      <c r="S30" s="63">
        <f>(F30*G30*I30*J30/10)</f>
        <v>757943.9999999999</v>
      </c>
      <c r="T30" s="200">
        <v>41000</v>
      </c>
      <c r="U30" s="200">
        <f aca="true" t="shared" si="8" ref="U30:U40">IF(S30&gt;R30,S30,R30)</f>
        <v>757943.9999999999</v>
      </c>
      <c r="V30" s="200">
        <f aca="true" t="shared" si="9" ref="V30:V40">IF(U30&gt;T30,T30,U30)</f>
        <v>41000</v>
      </c>
      <c r="W30" s="201">
        <f aca="true" t="shared" si="10" ref="W30:W37">V30</f>
        <v>41000</v>
      </c>
      <c r="X30" s="6"/>
    </row>
    <row r="31" spans="1:24" ht="14.25" thickBot="1">
      <c r="A31" s="87">
        <f aca="true" t="shared" si="11" ref="A31:A42">A30+1</f>
        <v>24</v>
      </c>
      <c r="B31" s="297">
        <v>107</v>
      </c>
      <c r="C31" s="113">
        <v>2</v>
      </c>
      <c r="D31" s="101" t="s">
        <v>79</v>
      </c>
      <c r="E31" s="101" t="s">
        <v>80</v>
      </c>
      <c r="F31" s="113">
        <v>4</v>
      </c>
      <c r="G31" s="113">
        <v>1000</v>
      </c>
      <c r="H31" s="114">
        <v>42</v>
      </c>
      <c r="I31" s="115">
        <v>42</v>
      </c>
      <c r="J31" s="116">
        <f>$J$4*1.5</f>
        <v>3.4799999999999995</v>
      </c>
      <c r="K31" s="113">
        <v>58</v>
      </c>
      <c r="L31" s="61">
        <v>50</v>
      </c>
      <c r="M31" s="61">
        <v>25</v>
      </c>
      <c r="N31" s="61">
        <v>28</v>
      </c>
      <c r="O31" s="62">
        <f t="shared" si="6"/>
        <v>26.5</v>
      </c>
      <c r="P31" s="243">
        <f t="shared" si="7"/>
        <v>76.5</v>
      </c>
      <c r="Q31" s="60" t="s">
        <v>286</v>
      </c>
      <c r="R31" s="167">
        <f>3650000/239.64</f>
        <v>15231.180103488567</v>
      </c>
      <c r="S31" s="63">
        <f>(F31*G31*I31*J31/10)</f>
        <v>58463.999999999985</v>
      </c>
      <c r="T31" s="200">
        <v>22000</v>
      </c>
      <c r="U31" s="200">
        <f t="shared" si="8"/>
        <v>58463.999999999985</v>
      </c>
      <c r="V31" s="200">
        <f t="shared" si="9"/>
        <v>22000</v>
      </c>
      <c r="W31" s="201">
        <f t="shared" si="10"/>
        <v>22000</v>
      </c>
      <c r="X31" s="6"/>
    </row>
    <row r="32" spans="1:24" ht="14.25" thickBot="1">
      <c r="A32" s="87">
        <f t="shared" si="11"/>
        <v>25</v>
      </c>
      <c r="B32" s="297">
        <v>14</v>
      </c>
      <c r="C32" s="113">
        <v>2</v>
      </c>
      <c r="D32" s="101" t="s">
        <v>81</v>
      </c>
      <c r="E32" s="101" t="s">
        <v>82</v>
      </c>
      <c r="F32" s="113">
        <v>4</v>
      </c>
      <c r="G32" s="113">
        <v>1250</v>
      </c>
      <c r="H32" s="114">
        <v>30</v>
      </c>
      <c r="I32" s="115">
        <v>30</v>
      </c>
      <c r="J32" s="116">
        <f>$J$4</f>
        <v>2.32</v>
      </c>
      <c r="K32" s="113">
        <v>55</v>
      </c>
      <c r="L32" s="61">
        <v>50</v>
      </c>
      <c r="M32" s="61">
        <v>23</v>
      </c>
      <c r="N32" s="61">
        <v>27</v>
      </c>
      <c r="O32" s="62">
        <f t="shared" si="6"/>
        <v>25</v>
      </c>
      <c r="P32" s="243">
        <f t="shared" si="7"/>
        <v>75</v>
      </c>
      <c r="Q32" s="60" t="s">
        <v>287</v>
      </c>
      <c r="R32" s="167">
        <f>1500000/239.64</f>
        <v>6259.389083625439</v>
      </c>
      <c r="S32" s="63">
        <f>(F32*1000*20*J32/10)*0.75</f>
        <v>13920</v>
      </c>
      <c r="T32" s="200">
        <v>15000</v>
      </c>
      <c r="U32" s="200">
        <f t="shared" si="8"/>
        <v>13920</v>
      </c>
      <c r="V32" s="200">
        <f t="shared" si="9"/>
        <v>13920</v>
      </c>
      <c r="W32" s="201">
        <f t="shared" si="10"/>
        <v>13920</v>
      </c>
      <c r="X32" s="6"/>
    </row>
    <row r="33" spans="1:24" ht="14.25" thickBot="1">
      <c r="A33" s="87">
        <f t="shared" si="11"/>
        <v>26</v>
      </c>
      <c r="B33" s="297">
        <v>50</v>
      </c>
      <c r="C33" s="113">
        <v>2</v>
      </c>
      <c r="D33" s="101" t="s">
        <v>89</v>
      </c>
      <c r="E33" s="101" t="s">
        <v>90</v>
      </c>
      <c r="F33" s="113">
        <v>6</v>
      </c>
      <c r="G33" s="113">
        <v>500</v>
      </c>
      <c r="H33" s="352">
        <v>18</v>
      </c>
      <c r="I33" s="353">
        <v>18</v>
      </c>
      <c r="J33" s="116">
        <f>$J$4</f>
        <v>2.32</v>
      </c>
      <c r="K33" s="113">
        <v>25</v>
      </c>
      <c r="L33" s="61">
        <v>43</v>
      </c>
      <c r="M33" s="61">
        <v>28</v>
      </c>
      <c r="N33" s="61">
        <v>30</v>
      </c>
      <c r="O33" s="62">
        <f t="shared" si="6"/>
        <v>29</v>
      </c>
      <c r="P33" s="243">
        <f t="shared" si="7"/>
        <v>72</v>
      </c>
      <c r="Q33" s="60" t="s">
        <v>286</v>
      </c>
      <c r="R33" s="167">
        <v>22870</v>
      </c>
      <c r="S33" s="63">
        <f>(4*G33*I33*J33/10)*0.75</f>
        <v>6264</v>
      </c>
      <c r="T33" s="200">
        <v>40000</v>
      </c>
      <c r="U33" s="200">
        <f t="shared" si="8"/>
        <v>22870</v>
      </c>
      <c r="V33" s="200">
        <f t="shared" si="9"/>
        <v>22870</v>
      </c>
      <c r="W33" s="201">
        <f t="shared" si="10"/>
        <v>22870</v>
      </c>
      <c r="X33" s="6"/>
    </row>
    <row r="34" spans="1:24" ht="14.25" thickBot="1">
      <c r="A34" s="87">
        <f t="shared" si="11"/>
        <v>27</v>
      </c>
      <c r="B34" s="297">
        <v>60</v>
      </c>
      <c r="C34" s="113">
        <v>2</v>
      </c>
      <c r="D34" s="101" t="s">
        <v>85</v>
      </c>
      <c r="E34" s="101" t="s">
        <v>86</v>
      </c>
      <c r="F34" s="113">
        <v>4</v>
      </c>
      <c r="G34" s="114">
        <v>800</v>
      </c>
      <c r="H34" s="354">
        <v>20</v>
      </c>
      <c r="I34" s="355">
        <v>20</v>
      </c>
      <c r="J34" s="116">
        <f>$J$4</f>
        <v>2.32</v>
      </c>
      <c r="K34" s="113">
        <v>24</v>
      </c>
      <c r="L34" s="61">
        <v>50</v>
      </c>
      <c r="M34" s="61">
        <v>18</v>
      </c>
      <c r="N34" s="61">
        <v>21</v>
      </c>
      <c r="O34" s="62">
        <f t="shared" si="6"/>
        <v>19.5</v>
      </c>
      <c r="P34" s="62">
        <f t="shared" si="7"/>
        <v>69.5</v>
      </c>
      <c r="Q34" s="60" t="s">
        <v>55</v>
      </c>
      <c r="R34" s="167">
        <v>5932.34</v>
      </c>
      <c r="S34" s="63">
        <f>(F34*G34*I34*J34/10)*0.75</f>
        <v>11136</v>
      </c>
      <c r="T34" s="200">
        <v>6410</v>
      </c>
      <c r="U34" s="200">
        <f t="shared" si="8"/>
        <v>11136</v>
      </c>
      <c r="V34" s="200">
        <f t="shared" si="9"/>
        <v>6410</v>
      </c>
      <c r="W34" s="201">
        <f t="shared" si="10"/>
        <v>6410</v>
      </c>
      <c r="X34" s="6"/>
    </row>
    <row r="35" spans="1:24" ht="14.25" thickBot="1">
      <c r="A35" s="87">
        <f t="shared" si="11"/>
        <v>28</v>
      </c>
      <c r="B35" s="297">
        <v>102</v>
      </c>
      <c r="C35" s="113">
        <v>2</v>
      </c>
      <c r="D35" s="101" t="s">
        <v>87</v>
      </c>
      <c r="E35" s="101" t="s">
        <v>88</v>
      </c>
      <c r="F35" s="113">
        <v>12</v>
      </c>
      <c r="G35" s="113">
        <v>800</v>
      </c>
      <c r="H35" s="114">
        <v>35</v>
      </c>
      <c r="I35" s="115">
        <v>35</v>
      </c>
      <c r="J35" s="116">
        <f>$J$4</f>
        <v>2.32</v>
      </c>
      <c r="K35" s="113">
        <v>45</v>
      </c>
      <c r="L35" s="61">
        <v>45</v>
      </c>
      <c r="M35" s="61">
        <v>23</v>
      </c>
      <c r="N35" s="61">
        <v>25</v>
      </c>
      <c r="O35" s="62">
        <f t="shared" si="6"/>
        <v>24</v>
      </c>
      <c r="P35" s="62">
        <f t="shared" si="7"/>
        <v>69</v>
      </c>
      <c r="Q35" s="60" t="s">
        <v>55</v>
      </c>
      <c r="R35" s="167">
        <v>12679</v>
      </c>
      <c r="S35" s="63">
        <f>(4*G35*20*J35/10)*0.75</f>
        <v>11136</v>
      </c>
      <c r="T35" s="200">
        <v>16782.4</v>
      </c>
      <c r="U35" s="200">
        <f t="shared" si="8"/>
        <v>12679</v>
      </c>
      <c r="V35" s="200">
        <f t="shared" si="9"/>
        <v>12679</v>
      </c>
      <c r="W35" s="201">
        <f t="shared" si="10"/>
        <v>12679</v>
      </c>
      <c r="X35" s="6"/>
    </row>
    <row r="36" spans="1:24" ht="14.25" thickBot="1">
      <c r="A36" s="87">
        <f t="shared" si="11"/>
        <v>29</v>
      </c>
      <c r="B36" s="297">
        <v>74</v>
      </c>
      <c r="C36" s="113">
        <v>2</v>
      </c>
      <c r="D36" s="101" t="s">
        <v>77</v>
      </c>
      <c r="E36" s="101" t="s">
        <v>91</v>
      </c>
      <c r="F36" s="113">
        <v>6</v>
      </c>
      <c r="G36" s="113">
        <v>1500</v>
      </c>
      <c r="H36" s="114">
        <v>80</v>
      </c>
      <c r="I36" s="115">
        <v>20</v>
      </c>
      <c r="J36" s="116">
        <f>$J$4</f>
        <v>2.32</v>
      </c>
      <c r="K36" s="113">
        <v>152</v>
      </c>
      <c r="L36" s="61">
        <v>40</v>
      </c>
      <c r="M36" s="61">
        <v>22</v>
      </c>
      <c r="N36" s="61">
        <v>24</v>
      </c>
      <c r="O36" s="62">
        <f t="shared" si="6"/>
        <v>23</v>
      </c>
      <c r="P36" s="62">
        <f t="shared" si="7"/>
        <v>63</v>
      </c>
      <c r="Q36" s="60" t="s">
        <v>67</v>
      </c>
      <c r="R36" s="167">
        <v>11215</v>
      </c>
      <c r="S36" s="63">
        <f>(4*1000*I36*J36/10)*$J$5</f>
        <v>0</v>
      </c>
      <c r="T36" s="200">
        <v>26000</v>
      </c>
      <c r="U36" s="200">
        <f t="shared" si="8"/>
        <v>11215</v>
      </c>
      <c r="V36" s="200">
        <f t="shared" si="9"/>
        <v>11215</v>
      </c>
      <c r="W36" s="201">
        <f t="shared" si="10"/>
        <v>11215</v>
      </c>
      <c r="X36" s="6"/>
    </row>
    <row r="37" spans="1:24" ht="14.25" thickBot="1">
      <c r="A37" s="87">
        <f t="shared" si="11"/>
        <v>30</v>
      </c>
      <c r="B37" s="297">
        <v>44</v>
      </c>
      <c r="C37" s="113">
        <v>2</v>
      </c>
      <c r="D37" s="101" t="s">
        <v>83</v>
      </c>
      <c r="E37" s="101" t="s">
        <v>84</v>
      </c>
      <c r="F37" s="113">
        <v>4</v>
      </c>
      <c r="G37" s="113">
        <v>600</v>
      </c>
      <c r="H37" s="114">
        <v>55</v>
      </c>
      <c r="I37" s="115">
        <v>55</v>
      </c>
      <c r="J37" s="116">
        <f>$J$4</f>
        <v>2.32</v>
      </c>
      <c r="K37" s="113">
        <v>60</v>
      </c>
      <c r="L37" s="61">
        <v>35</v>
      </c>
      <c r="M37" s="61">
        <v>26</v>
      </c>
      <c r="N37" s="61">
        <v>29</v>
      </c>
      <c r="O37" s="62">
        <f t="shared" si="6"/>
        <v>27.5</v>
      </c>
      <c r="P37" s="62">
        <f t="shared" si="7"/>
        <v>62.5</v>
      </c>
      <c r="Q37" s="60" t="s">
        <v>288</v>
      </c>
      <c r="R37" s="167">
        <f>3984000/239.64</f>
        <v>16624.937406109166</v>
      </c>
      <c r="S37" s="63">
        <f>(F37*G37*20*J37/10)*$J$5</f>
        <v>0</v>
      </c>
      <c r="T37" s="200">
        <v>20000</v>
      </c>
      <c r="U37" s="200">
        <f t="shared" si="8"/>
        <v>16624.937406109166</v>
      </c>
      <c r="V37" s="200">
        <f t="shared" si="9"/>
        <v>16624.937406109166</v>
      </c>
      <c r="W37" s="201">
        <f t="shared" si="10"/>
        <v>16624.937406109166</v>
      </c>
      <c r="X37" s="6"/>
    </row>
    <row r="38" spans="1:24" ht="14.25" thickBot="1">
      <c r="A38" s="87">
        <f t="shared" si="11"/>
        <v>31</v>
      </c>
      <c r="B38" s="297">
        <v>45</v>
      </c>
      <c r="C38" s="113">
        <v>2</v>
      </c>
      <c r="D38" s="101" t="s">
        <v>83</v>
      </c>
      <c r="E38" s="101" t="s">
        <v>92</v>
      </c>
      <c r="F38" s="113">
        <v>4</v>
      </c>
      <c r="G38" s="113">
        <v>550</v>
      </c>
      <c r="H38" s="114">
        <v>15</v>
      </c>
      <c r="I38" s="115">
        <v>15</v>
      </c>
      <c r="J38" s="116">
        <f>$J$4</f>
        <v>2.32</v>
      </c>
      <c r="K38" s="113">
        <v>30</v>
      </c>
      <c r="L38" s="61">
        <v>35</v>
      </c>
      <c r="M38" s="61">
        <v>19</v>
      </c>
      <c r="N38" s="61">
        <v>26</v>
      </c>
      <c r="O38" s="62">
        <f t="shared" si="6"/>
        <v>22.5</v>
      </c>
      <c r="P38" s="62">
        <f t="shared" si="7"/>
        <v>57.5</v>
      </c>
      <c r="Q38" s="60" t="s">
        <v>67</v>
      </c>
      <c r="R38" s="167">
        <f>686000/239.64</f>
        <v>2862.6272742447004</v>
      </c>
      <c r="S38" s="63">
        <f>(F38*G38*I38*J38/10)*$J$5</f>
        <v>0</v>
      </c>
      <c r="T38" s="200">
        <v>13200</v>
      </c>
      <c r="U38" s="200">
        <f t="shared" si="8"/>
        <v>2862.6272742447004</v>
      </c>
      <c r="V38" s="200">
        <f t="shared" si="9"/>
        <v>2862.6272742447004</v>
      </c>
      <c r="W38" s="201">
        <v>3828</v>
      </c>
      <c r="X38" s="6"/>
    </row>
    <row r="39" spans="1:29" ht="14.25" thickBot="1">
      <c r="A39" s="87">
        <f t="shared" si="11"/>
        <v>32</v>
      </c>
      <c r="B39" s="297">
        <v>65</v>
      </c>
      <c r="C39" s="113">
        <v>2</v>
      </c>
      <c r="D39" s="101" t="s">
        <v>93</v>
      </c>
      <c r="E39" s="101" t="s">
        <v>94</v>
      </c>
      <c r="F39" s="113">
        <v>4</v>
      </c>
      <c r="G39" s="113">
        <v>1000</v>
      </c>
      <c r="H39" s="114">
        <v>29</v>
      </c>
      <c r="I39" s="115">
        <v>20</v>
      </c>
      <c r="J39" s="116">
        <f>$J$4</f>
        <v>2.32</v>
      </c>
      <c r="K39" s="113">
        <v>40</v>
      </c>
      <c r="L39" s="61">
        <v>30</v>
      </c>
      <c r="M39" s="61">
        <v>18</v>
      </c>
      <c r="N39" s="61">
        <v>19</v>
      </c>
      <c r="O39" s="62">
        <f t="shared" si="6"/>
        <v>18.5</v>
      </c>
      <c r="P39" s="62">
        <f t="shared" si="7"/>
        <v>48.5</v>
      </c>
      <c r="Q39" s="60" t="s">
        <v>67</v>
      </c>
      <c r="R39" s="167">
        <v>5000</v>
      </c>
      <c r="S39" s="63">
        <f>(F39*G39*I39*J39/10)*$J$5</f>
        <v>0</v>
      </c>
      <c r="T39" s="200">
        <v>6000</v>
      </c>
      <c r="U39" s="200">
        <f t="shared" si="8"/>
        <v>5000</v>
      </c>
      <c r="V39" s="200">
        <f t="shared" si="9"/>
        <v>5000</v>
      </c>
      <c r="W39" s="201">
        <v>6000</v>
      </c>
      <c r="X39" s="6"/>
      <c r="AB39" s="75"/>
      <c r="AC39" s="75"/>
    </row>
    <row r="40" spans="1:29" ht="14.25" thickBot="1">
      <c r="A40" s="87">
        <f t="shared" si="11"/>
        <v>33</v>
      </c>
      <c r="B40" s="297">
        <v>93</v>
      </c>
      <c r="C40" s="113">
        <v>2</v>
      </c>
      <c r="D40" s="101" t="s">
        <v>95</v>
      </c>
      <c r="E40" s="101" t="s">
        <v>96</v>
      </c>
      <c r="F40" s="113">
        <v>4</v>
      </c>
      <c r="G40" s="113">
        <v>420</v>
      </c>
      <c r="H40" s="114">
        <v>12</v>
      </c>
      <c r="I40" s="115">
        <v>12</v>
      </c>
      <c r="J40" s="116">
        <f>$J$4</f>
        <v>2.32</v>
      </c>
      <c r="K40" s="113">
        <v>26</v>
      </c>
      <c r="L40" s="61">
        <v>30</v>
      </c>
      <c r="M40" s="61">
        <v>16</v>
      </c>
      <c r="N40" s="61">
        <v>19</v>
      </c>
      <c r="O40" s="62">
        <f t="shared" si="6"/>
        <v>17.5</v>
      </c>
      <c r="P40" s="62">
        <f t="shared" si="7"/>
        <v>47.5</v>
      </c>
      <c r="Q40" s="60" t="s">
        <v>67</v>
      </c>
      <c r="R40" s="167">
        <v>1892</v>
      </c>
      <c r="S40" s="63">
        <f>(F40*G40*I40*J40/10)*$J$5</f>
        <v>0</v>
      </c>
      <c r="T40" s="200">
        <v>3800</v>
      </c>
      <c r="U40" s="200">
        <f t="shared" si="8"/>
        <v>1892</v>
      </c>
      <c r="V40" s="200">
        <f t="shared" si="9"/>
        <v>1892</v>
      </c>
      <c r="W40" s="201">
        <v>2338.56</v>
      </c>
      <c r="X40" s="6"/>
      <c r="AB40" s="75"/>
      <c r="AC40" s="75"/>
    </row>
    <row r="41" spans="1:28" ht="19.5" thickBot="1">
      <c r="A41" s="87">
        <f t="shared" si="11"/>
        <v>34</v>
      </c>
      <c r="B41" s="288"/>
      <c r="C41" s="9"/>
      <c r="D41" s="9"/>
      <c r="E41" s="9"/>
      <c r="F41" s="9"/>
      <c r="G41" s="9"/>
      <c r="H41" s="15"/>
      <c r="I41" s="16"/>
      <c r="J41" s="11"/>
      <c r="K41" s="9"/>
      <c r="L41" s="9"/>
      <c r="M41" s="9"/>
      <c r="N41" s="9"/>
      <c r="O41" s="12"/>
      <c r="P41" s="13"/>
      <c r="Q41" s="58" t="s">
        <v>71</v>
      </c>
      <c r="R41" s="170"/>
      <c r="S41" s="38">
        <f>SUM(S30:S40)</f>
        <v>858863.9999999999</v>
      </c>
      <c r="T41" s="188">
        <f>SUM(T30:T40)</f>
        <v>210192.4</v>
      </c>
      <c r="U41" s="188"/>
      <c r="V41" s="188"/>
      <c r="W41" s="202">
        <f>SUM(W30:W40)</f>
        <v>158885.49740610918</v>
      </c>
      <c r="X41" s="6"/>
      <c r="AB41" s="75"/>
    </row>
    <row r="42" spans="1:24" ht="14.25" thickBot="1">
      <c r="A42" s="87">
        <f t="shared" si="11"/>
        <v>35</v>
      </c>
      <c r="B42" s="288"/>
      <c r="C42" s="9"/>
      <c r="D42" s="50" t="s">
        <v>97</v>
      </c>
      <c r="E42" s="9"/>
      <c r="F42" s="9"/>
      <c r="G42" s="9"/>
      <c r="H42" s="15"/>
      <c r="I42" s="16"/>
      <c r="J42" s="11"/>
      <c r="K42" s="9"/>
      <c r="L42" s="9"/>
      <c r="M42" s="9"/>
      <c r="N42" s="9"/>
      <c r="O42" s="12"/>
      <c r="P42" s="13"/>
      <c r="Q42" s="59"/>
      <c r="R42" s="166"/>
      <c r="S42" s="14"/>
      <c r="T42" s="181"/>
      <c r="U42" s="181"/>
      <c r="V42" s="181"/>
      <c r="W42" s="182"/>
      <c r="X42" s="6"/>
    </row>
    <row r="43" spans="1:24" ht="14.25" thickBot="1">
      <c r="A43" s="87"/>
      <c r="B43" s="288"/>
      <c r="C43" s="9"/>
      <c r="D43" s="244">
        <v>164503.84</v>
      </c>
      <c r="E43" s="9"/>
      <c r="F43" s="9"/>
      <c r="G43" s="9"/>
      <c r="H43" s="15"/>
      <c r="I43" s="16"/>
      <c r="J43" s="11"/>
      <c r="K43" s="9"/>
      <c r="L43" s="9"/>
      <c r="M43" s="9"/>
      <c r="N43" s="9"/>
      <c r="O43" s="12"/>
      <c r="P43" s="13"/>
      <c r="Q43" s="57"/>
      <c r="R43" s="166"/>
      <c r="S43" s="14"/>
      <c r="T43" s="181"/>
      <c r="U43" s="181"/>
      <c r="V43" s="181"/>
      <c r="W43" s="190"/>
      <c r="X43" s="6"/>
    </row>
    <row r="44" spans="1:25" ht="17.25" thickBot="1">
      <c r="A44" s="87"/>
      <c r="B44" s="288"/>
      <c r="C44" s="9"/>
      <c r="D44" s="41"/>
      <c r="E44" s="64"/>
      <c r="F44" s="9"/>
      <c r="G44" s="9"/>
      <c r="H44" s="15"/>
      <c r="I44" s="16"/>
      <c r="J44" s="11"/>
      <c r="K44" s="9"/>
      <c r="L44" s="9"/>
      <c r="M44" s="9"/>
      <c r="N44" s="9"/>
      <c r="O44" s="12"/>
      <c r="P44" s="13"/>
      <c r="Q44" s="92" t="s">
        <v>284</v>
      </c>
      <c r="R44" s="166"/>
      <c r="S44" s="14"/>
      <c r="T44" s="181"/>
      <c r="U44" s="183"/>
      <c r="V44" s="183"/>
      <c r="W44" s="193">
        <f>SUM(W32:W40)</f>
        <v>95885.49740610916</v>
      </c>
      <c r="X44" s="6"/>
      <c r="Y44" s="256"/>
    </row>
    <row r="45" spans="1:24" ht="18" thickBot="1">
      <c r="A45" s="281" t="s">
        <v>98</v>
      </c>
      <c r="B45" s="294" t="s">
        <v>99</v>
      </c>
      <c r="C45" s="245"/>
      <c r="D45" s="245"/>
      <c r="E45" s="69"/>
      <c r="F45" s="69"/>
      <c r="G45" s="69"/>
      <c r="H45" s="70"/>
      <c r="I45" s="71"/>
      <c r="J45" s="72"/>
      <c r="K45" s="69"/>
      <c r="L45" s="69"/>
      <c r="M45" s="69"/>
      <c r="N45" s="69"/>
      <c r="O45" s="74"/>
      <c r="P45" s="73"/>
      <c r="Q45" s="73"/>
      <c r="R45" s="169"/>
      <c r="S45" s="90"/>
      <c r="T45" s="194"/>
      <c r="U45" s="194"/>
      <c r="V45" s="194"/>
      <c r="W45" s="196"/>
      <c r="X45" s="6"/>
    </row>
    <row r="46" spans="1:24" ht="14.25" thickBot="1">
      <c r="A46" s="87" t="s">
        <v>100</v>
      </c>
      <c r="B46" s="288"/>
      <c r="C46" s="9"/>
      <c r="D46" s="9"/>
      <c r="E46" s="9"/>
      <c r="F46" s="18" t="s">
        <v>2</v>
      </c>
      <c r="G46" s="18" t="s">
        <v>1</v>
      </c>
      <c r="H46" s="19" t="s">
        <v>21</v>
      </c>
      <c r="I46" s="20" t="s">
        <v>21</v>
      </c>
      <c r="J46" s="21" t="s">
        <v>3</v>
      </c>
      <c r="K46" s="9"/>
      <c r="L46" s="9"/>
      <c r="M46" s="9"/>
      <c r="N46" s="9"/>
      <c r="O46" s="12"/>
      <c r="P46" s="13"/>
      <c r="Q46" s="13"/>
      <c r="R46" s="166"/>
      <c r="S46" s="14"/>
      <c r="T46" s="181"/>
      <c r="U46" s="181"/>
      <c r="V46" s="181"/>
      <c r="W46" s="182"/>
      <c r="X46" s="6"/>
    </row>
    <row r="47" spans="1:24" ht="13.5">
      <c r="A47" s="278" t="s">
        <v>101</v>
      </c>
      <c r="B47" s="295" t="s">
        <v>22</v>
      </c>
      <c r="C47" s="247" t="s">
        <v>23</v>
      </c>
      <c r="D47" s="247" t="s">
        <v>24</v>
      </c>
      <c r="E47" s="247" t="s">
        <v>25</v>
      </c>
      <c r="F47" s="247" t="s">
        <v>26</v>
      </c>
      <c r="G47" s="247" t="s">
        <v>27</v>
      </c>
      <c r="H47" s="81" t="s">
        <v>28</v>
      </c>
      <c r="I47" s="43" t="s">
        <v>28</v>
      </c>
      <c r="J47" s="268" t="s">
        <v>29</v>
      </c>
      <c r="K47" s="44" t="s">
        <v>28</v>
      </c>
      <c r="L47" s="247" t="s">
        <v>30</v>
      </c>
      <c r="M47" s="247" t="s">
        <v>31</v>
      </c>
      <c r="N47" s="247" t="s">
        <v>32</v>
      </c>
      <c r="O47" s="270" t="s">
        <v>33</v>
      </c>
      <c r="P47" s="247" t="s">
        <v>34</v>
      </c>
      <c r="Q47" s="247" t="s">
        <v>35</v>
      </c>
      <c r="R47" s="272" t="s">
        <v>36</v>
      </c>
      <c r="S47" s="45" t="s">
        <v>37</v>
      </c>
      <c r="T47" s="197" t="s">
        <v>38</v>
      </c>
      <c r="U47" s="198"/>
      <c r="V47" s="198"/>
      <c r="W47" s="274" t="s">
        <v>295</v>
      </c>
      <c r="X47" s="6"/>
    </row>
    <row r="48" spans="1:24" ht="24.75" thickBot="1">
      <c r="A48" s="279"/>
      <c r="B48" s="296"/>
      <c r="C48" s="248"/>
      <c r="D48" s="248"/>
      <c r="E48" s="248"/>
      <c r="F48" s="248"/>
      <c r="G48" s="248"/>
      <c r="H48" s="46" t="s">
        <v>39</v>
      </c>
      <c r="I48" s="47" t="s">
        <v>39</v>
      </c>
      <c r="J48" s="269"/>
      <c r="K48" s="48" t="s">
        <v>41</v>
      </c>
      <c r="L48" s="248"/>
      <c r="M48" s="248"/>
      <c r="N48" s="248"/>
      <c r="O48" s="271"/>
      <c r="P48" s="248"/>
      <c r="Q48" s="248"/>
      <c r="R48" s="273"/>
      <c r="S48" s="49" t="s">
        <v>42</v>
      </c>
      <c r="T48" s="121">
        <v>2009</v>
      </c>
      <c r="U48" s="199" t="s">
        <v>43</v>
      </c>
      <c r="V48" s="199" t="s">
        <v>43</v>
      </c>
      <c r="W48" s="275"/>
      <c r="X48" s="6"/>
    </row>
    <row r="49" spans="1:24" ht="14.25" thickBot="1">
      <c r="A49" s="87">
        <v>40</v>
      </c>
      <c r="B49" s="292">
        <v>29</v>
      </c>
      <c r="C49" s="31">
        <v>3</v>
      </c>
      <c r="D49" s="35" t="s">
        <v>102</v>
      </c>
      <c r="E49" s="35" t="s">
        <v>103</v>
      </c>
      <c r="F49" s="31">
        <v>4</v>
      </c>
      <c r="G49" s="31">
        <v>2100</v>
      </c>
      <c r="H49" s="32">
        <v>20</v>
      </c>
      <c r="I49" s="33">
        <v>20</v>
      </c>
      <c r="J49" s="11">
        <f>$J$4</f>
        <v>2.32</v>
      </c>
      <c r="K49" s="31">
        <v>46</v>
      </c>
      <c r="L49" s="13">
        <v>45</v>
      </c>
      <c r="M49" s="13">
        <v>29</v>
      </c>
      <c r="N49" s="13">
        <v>31</v>
      </c>
      <c r="O49" s="12">
        <f>(M49+N49)/2</f>
        <v>30</v>
      </c>
      <c r="P49" s="12">
        <f>O49+L49</f>
        <v>75</v>
      </c>
      <c r="Q49" s="13" t="s">
        <v>55</v>
      </c>
      <c r="R49" s="166">
        <v>7344</v>
      </c>
      <c r="S49" s="34">
        <f>(F49*1000*I49*J49/10)*0.75</f>
        <v>13920</v>
      </c>
      <c r="T49" s="187">
        <v>9500</v>
      </c>
      <c r="U49" s="187">
        <f>IF(S49&gt;R49,S49,R49)</f>
        <v>13920</v>
      </c>
      <c r="V49" s="187">
        <f>IF(U49&gt;T49,T49,U49)</f>
        <v>9500</v>
      </c>
      <c r="W49" s="203">
        <f>V49</f>
        <v>9500</v>
      </c>
      <c r="X49" s="6"/>
    </row>
    <row r="50" spans="1:24" ht="14.25" thickBot="1">
      <c r="A50" s="87" t="s">
        <v>104</v>
      </c>
      <c r="B50" s="292">
        <v>87</v>
      </c>
      <c r="C50" s="31">
        <v>3</v>
      </c>
      <c r="D50" s="35" t="s">
        <v>105</v>
      </c>
      <c r="E50" s="35" t="s">
        <v>106</v>
      </c>
      <c r="F50" s="31">
        <v>14</v>
      </c>
      <c r="G50" s="31">
        <v>4300</v>
      </c>
      <c r="H50" s="32">
        <v>90</v>
      </c>
      <c r="I50" s="33">
        <v>20</v>
      </c>
      <c r="J50" s="11">
        <f>$J$4</f>
        <v>2.32</v>
      </c>
      <c r="K50" s="31">
        <v>185</v>
      </c>
      <c r="L50" s="13">
        <v>45</v>
      </c>
      <c r="M50" s="13">
        <v>27</v>
      </c>
      <c r="N50" s="13">
        <v>33</v>
      </c>
      <c r="O50" s="12">
        <f>(M50+N50)/2</f>
        <v>30</v>
      </c>
      <c r="P50" s="12">
        <f>O50+L50</f>
        <v>75</v>
      </c>
      <c r="Q50" s="13" t="s">
        <v>55</v>
      </c>
      <c r="R50" s="166">
        <v>28266</v>
      </c>
      <c r="S50" s="34">
        <f>(4*1000*I50*J50/10)*0.75</f>
        <v>13920</v>
      </c>
      <c r="T50" s="187">
        <v>31300</v>
      </c>
      <c r="U50" s="187">
        <f>IF(S50&gt;R50,S50,R50)</f>
        <v>28266</v>
      </c>
      <c r="V50" s="187">
        <f>IF(U50&gt;T50,T50,U50)</f>
        <v>28266</v>
      </c>
      <c r="W50" s="203">
        <f>V50</f>
        <v>28266</v>
      </c>
      <c r="X50" s="6"/>
    </row>
    <row r="51" spans="1:24" ht="14.25" thickBot="1">
      <c r="A51" s="87" t="s">
        <v>107</v>
      </c>
      <c r="B51" s="292">
        <v>15</v>
      </c>
      <c r="C51" s="31">
        <v>3</v>
      </c>
      <c r="D51" s="35" t="s">
        <v>108</v>
      </c>
      <c r="E51" s="35" t="s">
        <v>109</v>
      </c>
      <c r="F51" s="31">
        <v>4</v>
      </c>
      <c r="G51" s="31">
        <v>500</v>
      </c>
      <c r="H51" s="32">
        <v>24</v>
      </c>
      <c r="I51" s="33">
        <v>20</v>
      </c>
      <c r="J51" s="11">
        <f>$J$4</f>
        <v>2.32</v>
      </c>
      <c r="K51" s="31">
        <v>28</v>
      </c>
      <c r="L51" s="13">
        <v>40</v>
      </c>
      <c r="M51" s="13">
        <v>22</v>
      </c>
      <c r="N51" s="13">
        <v>22</v>
      </c>
      <c r="O51" s="12">
        <f>(M51+N51)/2</f>
        <v>22</v>
      </c>
      <c r="P51" s="12">
        <f>O51+L51</f>
        <v>62</v>
      </c>
      <c r="Q51" s="13" t="s">
        <v>67</v>
      </c>
      <c r="R51" s="166">
        <v>3672</v>
      </c>
      <c r="S51" s="34">
        <f>(F51*G51*I51*J51/10)*$J$5</f>
        <v>0</v>
      </c>
      <c r="T51" s="187">
        <v>8500</v>
      </c>
      <c r="U51" s="187">
        <f>IF(S51&gt;R51,S51,R51)</f>
        <v>3672</v>
      </c>
      <c r="V51" s="187">
        <f>IF(U51&gt;T51,T51,U51)</f>
        <v>3672</v>
      </c>
      <c r="W51" s="203">
        <v>4640</v>
      </c>
      <c r="X51" s="6"/>
    </row>
    <row r="52" spans="1:24" ht="48.75" thickBot="1">
      <c r="A52" s="87" t="s">
        <v>110</v>
      </c>
      <c r="B52" s="292">
        <v>53</v>
      </c>
      <c r="C52" s="31">
        <v>3</v>
      </c>
      <c r="D52" s="35" t="s">
        <v>111</v>
      </c>
      <c r="E52" s="35" t="s">
        <v>112</v>
      </c>
      <c r="F52" s="31">
        <v>4</v>
      </c>
      <c r="G52" s="31">
        <v>350</v>
      </c>
      <c r="H52" s="32">
        <v>14</v>
      </c>
      <c r="I52" s="33">
        <v>14</v>
      </c>
      <c r="J52" s="11">
        <f>$J$4</f>
        <v>2.32</v>
      </c>
      <c r="K52" s="31">
        <v>26</v>
      </c>
      <c r="L52" s="13">
        <v>30</v>
      </c>
      <c r="M52" s="13">
        <v>32</v>
      </c>
      <c r="N52" s="13">
        <v>31</v>
      </c>
      <c r="O52" s="12">
        <f>(M52+N52)/2</f>
        <v>31.5</v>
      </c>
      <c r="P52" s="12">
        <f>O52+L52</f>
        <v>61.5</v>
      </c>
      <c r="Q52" s="13" t="s">
        <v>67</v>
      </c>
      <c r="R52" s="166">
        <v>5940</v>
      </c>
      <c r="S52" s="34">
        <f>(F52*G52*I52*J52/10)*$J$5</f>
        <v>0</v>
      </c>
      <c r="T52" s="187">
        <v>22500</v>
      </c>
      <c r="U52" s="187">
        <f>IF(S52&gt;R52,S52,R52)</f>
        <v>5940</v>
      </c>
      <c r="V52" s="187">
        <f>IF(U52&gt;T52,T52,U52)</f>
        <v>5940</v>
      </c>
      <c r="W52" s="203">
        <f>V52</f>
        <v>5940</v>
      </c>
      <c r="X52" s="6"/>
    </row>
    <row r="53" spans="1:24" ht="14.25" thickBot="1">
      <c r="A53" s="87" t="s">
        <v>113</v>
      </c>
      <c r="B53" s="292">
        <v>86</v>
      </c>
      <c r="C53" s="31">
        <v>3</v>
      </c>
      <c r="D53" s="35" t="s">
        <v>105</v>
      </c>
      <c r="E53" s="35" t="s">
        <v>114</v>
      </c>
      <c r="F53" s="31">
        <v>2</v>
      </c>
      <c r="G53" s="31">
        <v>1100</v>
      </c>
      <c r="H53" s="32">
        <v>24</v>
      </c>
      <c r="I53" s="33">
        <v>20</v>
      </c>
      <c r="J53" s="11">
        <f>$J$4</f>
        <v>2.32</v>
      </c>
      <c r="K53" s="31">
        <v>34</v>
      </c>
      <c r="L53" s="13">
        <v>35</v>
      </c>
      <c r="M53" s="13">
        <v>20</v>
      </c>
      <c r="N53" s="13">
        <v>21</v>
      </c>
      <c r="O53" s="12">
        <f>(M53+N53)/2</f>
        <v>20.5</v>
      </c>
      <c r="P53" s="12">
        <f>O53+L53</f>
        <v>55.5</v>
      </c>
      <c r="Q53" s="13" t="s">
        <v>67</v>
      </c>
      <c r="R53" s="166">
        <v>6945</v>
      </c>
      <c r="S53" s="34">
        <f>(F53*1000*I53*J53/10)*$J$5</f>
        <v>0</v>
      </c>
      <c r="T53" s="187">
        <v>15184.24</v>
      </c>
      <c r="U53" s="187">
        <f>IF(S53&gt;R53,S53,R53)</f>
        <v>6945</v>
      </c>
      <c r="V53" s="187">
        <f>IF(U53&gt;T53,T53,U53)</f>
        <v>6945</v>
      </c>
      <c r="W53" s="203">
        <f>V53</f>
        <v>6945</v>
      </c>
      <c r="X53" s="6"/>
    </row>
    <row r="54" spans="1:24" ht="19.5" thickBot="1">
      <c r="A54" s="87" t="s">
        <v>115</v>
      </c>
      <c r="B54" s="288"/>
      <c r="C54" s="9"/>
      <c r="D54" s="9"/>
      <c r="E54" s="9"/>
      <c r="F54" s="9"/>
      <c r="G54" s="9"/>
      <c r="H54" s="15"/>
      <c r="I54" s="16"/>
      <c r="J54" s="11"/>
      <c r="K54" s="9"/>
      <c r="L54" s="9"/>
      <c r="M54" s="9"/>
      <c r="N54" s="9"/>
      <c r="O54" s="12"/>
      <c r="P54" s="13"/>
      <c r="Q54" s="58" t="s">
        <v>71</v>
      </c>
      <c r="R54" s="170"/>
      <c r="S54" s="38">
        <f>SUM(S49:S53)</f>
        <v>27840</v>
      </c>
      <c r="T54" s="188">
        <f>SUM(T49:T53)</f>
        <v>86984.24</v>
      </c>
      <c r="U54" s="188"/>
      <c r="V54" s="188"/>
      <c r="W54" s="202">
        <f>SUM(W49:W53)</f>
        <v>55291</v>
      </c>
      <c r="X54" s="6"/>
    </row>
    <row r="55" spans="1:24" ht="14.25" thickBot="1">
      <c r="A55" s="87"/>
      <c r="B55" s="288"/>
      <c r="C55" s="9"/>
      <c r="D55" s="50" t="s">
        <v>116</v>
      </c>
      <c r="E55" s="9"/>
      <c r="F55" s="9"/>
      <c r="G55" s="9"/>
      <c r="H55" s="15"/>
      <c r="I55" s="16"/>
      <c r="J55" s="11"/>
      <c r="K55" s="9"/>
      <c r="L55" s="9"/>
      <c r="M55" s="9"/>
      <c r="N55" s="9"/>
      <c r="O55" s="12"/>
      <c r="P55" s="13"/>
      <c r="Q55" s="59"/>
      <c r="R55" s="170"/>
      <c r="S55" s="34"/>
      <c r="T55" s="204"/>
      <c r="U55" s="204"/>
      <c r="V55" s="204"/>
      <c r="W55" s="205"/>
      <c r="X55" s="6"/>
    </row>
    <row r="56" spans="1:24" ht="14.25" thickBot="1">
      <c r="A56" s="87">
        <v>46</v>
      </c>
      <c r="B56" s="288"/>
      <c r="C56" s="9"/>
      <c r="D56" s="244">
        <v>70501.64</v>
      </c>
      <c r="E56" s="9"/>
      <c r="F56" s="9"/>
      <c r="G56" s="9"/>
      <c r="H56" s="15"/>
      <c r="I56" s="16"/>
      <c r="J56" s="11"/>
      <c r="K56" s="9"/>
      <c r="L56" s="9"/>
      <c r="M56" s="9"/>
      <c r="N56" s="9"/>
      <c r="O56" s="12"/>
      <c r="P56" s="13"/>
      <c r="Q56" s="57"/>
      <c r="R56" s="166"/>
      <c r="S56" s="14"/>
      <c r="T56" s="181"/>
      <c r="U56" s="183"/>
      <c r="V56" s="183"/>
      <c r="W56" s="190"/>
      <c r="X56" s="6"/>
    </row>
    <row r="57" spans="1:24" ht="17.25" thickBot="1">
      <c r="A57" s="87"/>
      <c r="B57" s="314"/>
      <c r="C57" s="82"/>
      <c r="D57" s="82"/>
      <c r="E57" s="82"/>
      <c r="F57" s="82"/>
      <c r="G57" s="82"/>
      <c r="H57" s="83"/>
      <c r="I57" s="56"/>
      <c r="J57" s="55"/>
      <c r="K57" s="82"/>
      <c r="L57" s="82"/>
      <c r="M57" s="82"/>
      <c r="N57" s="82"/>
      <c r="O57" s="85"/>
      <c r="P57" s="84"/>
      <c r="Q57" s="92" t="s">
        <v>284</v>
      </c>
      <c r="R57" s="172"/>
      <c r="S57" s="89"/>
      <c r="T57" s="213"/>
      <c r="U57" s="191"/>
      <c r="V57" s="191"/>
      <c r="W57" s="193">
        <f>SUM(W49:W53)</f>
        <v>55291</v>
      </c>
      <c r="X57" s="6"/>
    </row>
    <row r="58" spans="1:24" ht="14.25" thickBot="1">
      <c r="A58" s="87"/>
      <c r="B58" s="132"/>
      <c r="C58" s="132"/>
      <c r="D58" s="131"/>
      <c r="E58" s="75"/>
      <c r="F58" s="132"/>
      <c r="G58" s="132"/>
      <c r="H58" s="132"/>
      <c r="I58" s="132"/>
      <c r="J58" s="143"/>
      <c r="K58" s="132"/>
      <c r="L58" s="132"/>
      <c r="M58" s="132"/>
      <c r="N58" s="132"/>
      <c r="O58" s="145"/>
      <c r="P58" s="144"/>
      <c r="Q58" s="129"/>
      <c r="R58" s="173"/>
      <c r="S58" s="147"/>
      <c r="T58" s="132"/>
      <c r="U58" s="132"/>
      <c r="V58" s="132"/>
      <c r="W58" s="141"/>
      <c r="X58" s="6"/>
    </row>
    <row r="59" spans="1:24" ht="33.75" thickBot="1">
      <c r="A59" s="87" t="s">
        <v>117</v>
      </c>
      <c r="B59" s="315" t="s">
        <v>118</v>
      </c>
      <c r="C59" s="316"/>
      <c r="D59" s="317"/>
      <c r="E59" s="318"/>
      <c r="F59" s="319"/>
      <c r="G59" s="319"/>
      <c r="H59" s="320"/>
      <c r="I59" s="321"/>
      <c r="J59" s="322"/>
      <c r="K59" s="319"/>
      <c r="L59" s="319"/>
      <c r="M59" s="319"/>
      <c r="N59" s="319"/>
      <c r="O59" s="323"/>
      <c r="P59" s="324"/>
      <c r="Q59" s="325" t="s">
        <v>284</v>
      </c>
      <c r="R59" s="326">
        <v>0</v>
      </c>
      <c r="S59" s="327"/>
      <c r="T59" s="328" t="s">
        <v>293</v>
      </c>
      <c r="U59" s="329"/>
      <c r="V59" s="330" t="s">
        <v>285</v>
      </c>
      <c r="W59" s="318"/>
      <c r="X59" s="6"/>
    </row>
    <row r="60" spans="1:24" ht="14.25" thickBot="1">
      <c r="A60" s="87" t="s">
        <v>119</v>
      </c>
      <c r="B60" s="288"/>
      <c r="C60" s="9"/>
      <c r="D60" s="9"/>
      <c r="E60" s="9"/>
      <c r="F60" s="18" t="s">
        <v>2</v>
      </c>
      <c r="G60" s="18" t="s">
        <v>1</v>
      </c>
      <c r="H60" s="19" t="s">
        <v>21</v>
      </c>
      <c r="I60" s="20" t="s">
        <v>21</v>
      </c>
      <c r="J60" s="21" t="s">
        <v>3</v>
      </c>
      <c r="K60" s="9"/>
      <c r="L60" s="9"/>
      <c r="M60" s="9"/>
      <c r="N60" s="9"/>
      <c r="O60" s="12"/>
      <c r="P60" s="13"/>
      <c r="Q60" s="13"/>
      <c r="R60" s="166"/>
      <c r="S60" s="14"/>
      <c r="T60" s="181"/>
      <c r="U60" s="181"/>
      <c r="V60" s="181"/>
      <c r="W60" s="182"/>
      <c r="X60" s="6"/>
    </row>
    <row r="61" spans="1:24" ht="13.5">
      <c r="A61" s="278" t="s">
        <v>120</v>
      </c>
      <c r="B61" s="295" t="s">
        <v>22</v>
      </c>
      <c r="C61" s="247" t="s">
        <v>23</v>
      </c>
      <c r="D61" s="247" t="s">
        <v>24</v>
      </c>
      <c r="E61" s="247" t="s">
        <v>25</v>
      </c>
      <c r="F61" s="247" t="s">
        <v>26</v>
      </c>
      <c r="G61" s="247" t="s">
        <v>27</v>
      </c>
      <c r="H61" s="81" t="s">
        <v>28</v>
      </c>
      <c r="I61" s="43" t="s">
        <v>28</v>
      </c>
      <c r="J61" s="268" t="s">
        <v>29</v>
      </c>
      <c r="K61" s="44" t="s">
        <v>28</v>
      </c>
      <c r="L61" s="247" t="s">
        <v>30</v>
      </c>
      <c r="M61" s="247" t="s">
        <v>31</v>
      </c>
      <c r="N61" s="247" t="s">
        <v>32</v>
      </c>
      <c r="O61" s="270" t="s">
        <v>33</v>
      </c>
      <c r="P61" s="247" t="s">
        <v>34</v>
      </c>
      <c r="Q61" s="247" t="s">
        <v>35</v>
      </c>
      <c r="R61" s="272" t="s">
        <v>36</v>
      </c>
      <c r="S61" s="45" t="s">
        <v>37</v>
      </c>
      <c r="T61" s="197" t="s">
        <v>38</v>
      </c>
      <c r="U61" s="198"/>
      <c r="V61" s="198"/>
      <c r="W61" s="274" t="s">
        <v>295</v>
      </c>
      <c r="X61" s="6"/>
    </row>
    <row r="62" spans="1:24" ht="24.75" thickBot="1">
      <c r="A62" s="279"/>
      <c r="B62" s="296"/>
      <c r="C62" s="248"/>
      <c r="D62" s="248"/>
      <c r="E62" s="248"/>
      <c r="F62" s="248"/>
      <c r="G62" s="248"/>
      <c r="H62" s="46" t="s">
        <v>39</v>
      </c>
      <c r="I62" s="47" t="s">
        <v>39</v>
      </c>
      <c r="J62" s="269"/>
      <c r="K62" s="48" t="s">
        <v>41</v>
      </c>
      <c r="L62" s="248"/>
      <c r="M62" s="248"/>
      <c r="N62" s="248"/>
      <c r="O62" s="271"/>
      <c r="P62" s="248"/>
      <c r="Q62" s="248"/>
      <c r="R62" s="273"/>
      <c r="S62" s="49" t="s">
        <v>42</v>
      </c>
      <c r="T62" s="121">
        <v>2009</v>
      </c>
      <c r="U62" s="199" t="s">
        <v>43</v>
      </c>
      <c r="V62" s="199" t="s">
        <v>43</v>
      </c>
      <c r="W62" s="275"/>
      <c r="X62" s="6"/>
    </row>
    <row r="63" spans="1:24" ht="24.75" thickBot="1">
      <c r="A63" s="87">
        <v>50</v>
      </c>
      <c r="B63" s="292">
        <v>51</v>
      </c>
      <c r="C63" s="31">
        <v>4</v>
      </c>
      <c r="D63" s="35" t="s">
        <v>121</v>
      </c>
      <c r="E63" s="101" t="s">
        <v>122</v>
      </c>
      <c r="F63" s="31">
        <v>5</v>
      </c>
      <c r="G63" s="31">
        <v>450</v>
      </c>
      <c r="H63" s="32">
        <v>105</v>
      </c>
      <c r="I63" s="33">
        <v>105</v>
      </c>
      <c r="J63" s="11">
        <f>$J$4</f>
        <v>2.32</v>
      </c>
      <c r="K63" s="31">
        <v>110</v>
      </c>
      <c r="L63" s="60">
        <v>55</v>
      </c>
      <c r="M63" s="60">
        <v>34</v>
      </c>
      <c r="N63" s="60">
        <v>35</v>
      </c>
      <c r="O63" s="62">
        <f>(M63+N63)/2</f>
        <v>34.5</v>
      </c>
      <c r="P63" s="62">
        <f>O63+L63</f>
        <v>89.5</v>
      </c>
      <c r="Q63" s="13" t="s">
        <v>48</v>
      </c>
      <c r="R63" s="166">
        <f>4177022/239.64</f>
        <v>17430.4039392422</v>
      </c>
      <c r="S63" s="34">
        <f>(F63*G63*I63*J63/10)*0.85</f>
        <v>46588.5</v>
      </c>
      <c r="T63" s="187">
        <v>21000</v>
      </c>
      <c r="U63" s="187">
        <f>IF(S63&gt;R63,S63,R63)</f>
        <v>46588.5</v>
      </c>
      <c r="V63" s="187">
        <f>IF(U63&gt;T63,T63,U63)</f>
        <v>21000</v>
      </c>
      <c r="W63" s="203">
        <f>V63</f>
        <v>21000</v>
      </c>
      <c r="X63" s="6"/>
    </row>
    <row r="64" spans="1:24" ht="24.75" thickBot="1">
      <c r="A64" s="87">
        <v>51</v>
      </c>
      <c r="B64" s="292">
        <v>108</v>
      </c>
      <c r="C64" s="31">
        <v>4</v>
      </c>
      <c r="D64" s="35" t="s">
        <v>121</v>
      </c>
      <c r="E64" s="35" t="s">
        <v>123</v>
      </c>
      <c r="F64" s="31">
        <v>3</v>
      </c>
      <c r="G64" s="31">
        <v>300</v>
      </c>
      <c r="H64" s="32">
        <v>33</v>
      </c>
      <c r="I64" s="33">
        <v>33</v>
      </c>
      <c r="J64" s="11">
        <f>$J$4</f>
        <v>2.32</v>
      </c>
      <c r="K64" s="31">
        <v>36</v>
      </c>
      <c r="L64" s="60">
        <v>55</v>
      </c>
      <c r="M64" s="60">
        <v>33</v>
      </c>
      <c r="N64" s="60">
        <v>32</v>
      </c>
      <c r="O64" s="62">
        <f>(M64+N64)/2</f>
        <v>32.5</v>
      </c>
      <c r="P64" s="62">
        <f>O64+L64</f>
        <v>87.5</v>
      </c>
      <c r="Q64" s="13" t="s">
        <v>48</v>
      </c>
      <c r="R64" s="166">
        <v>4573</v>
      </c>
      <c r="S64" s="34">
        <f>(F64*G64*I64*J64/10)*0.85</f>
        <v>5856.839999999999</v>
      </c>
      <c r="T64" s="187">
        <v>6353</v>
      </c>
      <c r="U64" s="187">
        <f>IF(S64&gt;R64,S64,R64)</f>
        <v>5856.839999999999</v>
      </c>
      <c r="V64" s="187">
        <f>IF(U64&gt;T64,T64,U64)</f>
        <v>5856.839999999999</v>
      </c>
      <c r="W64" s="203">
        <f>V64</f>
        <v>5856.839999999999</v>
      </c>
      <c r="X64" s="6"/>
    </row>
    <row r="65" spans="1:24" ht="24.75" thickBot="1">
      <c r="A65" s="87">
        <v>52</v>
      </c>
      <c r="B65" s="292">
        <v>37</v>
      </c>
      <c r="C65" s="31">
        <v>4</v>
      </c>
      <c r="D65" s="35" t="s">
        <v>124</v>
      </c>
      <c r="E65" s="35" t="s">
        <v>125</v>
      </c>
      <c r="F65" s="31">
        <v>5</v>
      </c>
      <c r="G65" s="31">
        <v>300</v>
      </c>
      <c r="H65" s="32">
        <v>21</v>
      </c>
      <c r="I65" s="33">
        <v>21</v>
      </c>
      <c r="J65" s="11">
        <f>$J$4</f>
        <v>2.32</v>
      </c>
      <c r="K65" s="31">
        <v>25</v>
      </c>
      <c r="L65" s="60">
        <v>50</v>
      </c>
      <c r="M65" s="60">
        <v>30</v>
      </c>
      <c r="N65" s="60">
        <v>30</v>
      </c>
      <c r="O65" s="62">
        <f>(M65+N65)/2</f>
        <v>30</v>
      </c>
      <c r="P65" s="12">
        <f>O65+L65</f>
        <v>80</v>
      </c>
      <c r="Q65" s="13" t="s">
        <v>48</v>
      </c>
      <c r="R65" s="166">
        <v>10867</v>
      </c>
      <c r="S65" s="34">
        <f>(F65*G65*I65*J65/10)*0.85</f>
        <v>6211.8</v>
      </c>
      <c r="T65" s="187">
        <v>14000</v>
      </c>
      <c r="U65" s="187">
        <f>IF(S65&gt;R65,S65,R65)</f>
        <v>10867</v>
      </c>
      <c r="V65" s="187">
        <f>IF(U65&gt;T65,T65,U65)</f>
        <v>10867</v>
      </c>
      <c r="W65" s="203">
        <f>V65</f>
        <v>10867</v>
      </c>
      <c r="X65" s="6"/>
    </row>
    <row r="66" spans="1:24" ht="14.25" thickBot="1">
      <c r="A66" s="87" t="s">
        <v>126</v>
      </c>
      <c r="B66" s="292">
        <v>16</v>
      </c>
      <c r="C66" s="31">
        <v>4</v>
      </c>
      <c r="D66" s="35" t="s">
        <v>127</v>
      </c>
      <c r="E66" s="35" t="s">
        <v>128</v>
      </c>
      <c r="F66" s="31">
        <v>12</v>
      </c>
      <c r="G66" s="31">
        <v>1350</v>
      </c>
      <c r="H66" s="32">
        <v>32</v>
      </c>
      <c r="I66" s="33">
        <v>20</v>
      </c>
      <c r="J66" s="11">
        <f>$J$4</f>
        <v>2.32</v>
      </c>
      <c r="K66" s="31">
        <v>74</v>
      </c>
      <c r="L66" s="13">
        <v>35</v>
      </c>
      <c r="M66" s="13">
        <v>30</v>
      </c>
      <c r="N66" s="13">
        <v>27</v>
      </c>
      <c r="O66" s="12">
        <f>(M66+N66)/2</f>
        <v>28.5</v>
      </c>
      <c r="P66" s="12">
        <f>O66+L66</f>
        <v>63.5</v>
      </c>
      <c r="Q66" s="13" t="s">
        <v>67</v>
      </c>
      <c r="R66" s="166">
        <v>7344</v>
      </c>
      <c r="S66" s="34">
        <f>(4*1000*I66*J66/10)*$J$5</f>
        <v>0</v>
      </c>
      <c r="T66" s="187">
        <v>15000</v>
      </c>
      <c r="U66" s="187">
        <f>IF(S66&gt;R66,S66,R66)</f>
        <v>7344</v>
      </c>
      <c r="V66" s="187">
        <f>IF(U66&gt;T66,T66,U66)</f>
        <v>7344</v>
      </c>
      <c r="W66" s="203">
        <v>9280</v>
      </c>
      <c r="X66" s="6"/>
    </row>
    <row r="67" spans="1:24" ht="14.25" thickBot="1">
      <c r="A67" s="87" t="s">
        <v>129</v>
      </c>
      <c r="B67" s="292">
        <v>64</v>
      </c>
      <c r="C67" s="31">
        <v>4</v>
      </c>
      <c r="D67" s="35" t="s">
        <v>130</v>
      </c>
      <c r="E67" s="35" t="s">
        <v>131</v>
      </c>
      <c r="F67" s="31">
        <v>1</v>
      </c>
      <c r="G67" s="31">
        <v>300</v>
      </c>
      <c r="H67" s="32">
        <v>8</v>
      </c>
      <c r="I67" s="33">
        <v>8</v>
      </c>
      <c r="J67" s="11">
        <f>$J$4</f>
        <v>2.32</v>
      </c>
      <c r="K67" s="31">
        <v>10</v>
      </c>
      <c r="L67" s="13">
        <v>38</v>
      </c>
      <c r="M67" s="13">
        <v>20</v>
      </c>
      <c r="N67" s="13">
        <v>24</v>
      </c>
      <c r="O67" s="12">
        <f>(M67+N67)/2</f>
        <v>22</v>
      </c>
      <c r="P67" s="12">
        <f>O67+L67</f>
        <v>60</v>
      </c>
      <c r="Q67" s="13" t="s">
        <v>67</v>
      </c>
      <c r="R67" s="166">
        <v>1207</v>
      </c>
      <c r="S67" s="34">
        <f>(F67*G67*I67*J67/10)*$J$5</f>
        <v>0</v>
      </c>
      <c r="T67" s="187">
        <v>1880</v>
      </c>
      <c r="U67" s="187">
        <f>IF(S67&gt;R67,S67,R67)</f>
        <v>1207</v>
      </c>
      <c r="V67" s="187">
        <f>IF(U67&gt;T67,T67,U67)</f>
        <v>1207</v>
      </c>
      <c r="W67" s="203">
        <f>V67</f>
        <v>1207</v>
      </c>
      <c r="X67" s="6"/>
    </row>
    <row r="68" spans="1:24" ht="19.5" thickBot="1">
      <c r="A68" s="87" t="s">
        <v>132</v>
      </c>
      <c r="B68" s="288"/>
      <c r="C68" s="9"/>
      <c r="D68" s="9"/>
      <c r="E68" s="9"/>
      <c r="F68" s="9"/>
      <c r="G68" s="9"/>
      <c r="H68" s="15"/>
      <c r="I68" s="16"/>
      <c r="J68" s="11"/>
      <c r="K68" s="9"/>
      <c r="L68" s="9"/>
      <c r="M68" s="9"/>
      <c r="N68" s="9"/>
      <c r="O68" s="12"/>
      <c r="P68" s="13"/>
      <c r="Q68" s="58" t="s">
        <v>71</v>
      </c>
      <c r="R68" s="170"/>
      <c r="S68" s="38">
        <f>SUM(S63:S67)</f>
        <v>58657.14</v>
      </c>
      <c r="T68" s="188">
        <f>SUM(T63:T67)</f>
        <v>58233</v>
      </c>
      <c r="U68" s="188"/>
      <c r="V68" s="188"/>
      <c r="W68" s="202">
        <f>SUM(W63:W67)</f>
        <v>48210.84</v>
      </c>
      <c r="X68" s="6"/>
    </row>
    <row r="69" spans="1:24" ht="14.25" thickBot="1">
      <c r="A69" s="87"/>
      <c r="B69" s="288"/>
      <c r="C69" s="9"/>
      <c r="D69" s="52" t="s">
        <v>133</v>
      </c>
      <c r="E69" s="9"/>
      <c r="F69" s="9"/>
      <c r="G69" s="9"/>
      <c r="H69" s="15"/>
      <c r="I69" s="16"/>
      <c r="J69" s="11"/>
      <c r="K69" s="9"/>
      <c r="L69" s="9"/>
      <c r="M69" s="9"/>
      <c r="N69" s="9"/>
      <c r="O69" s="12"/>
      <c r="P69" s="13"/>
      <c r="Q69" s="59"/>
      <c r="R69" s="170"/>
      <c r="S69" s="34"/>
      <c r="T69" s="204"/>
      <c r="U69" s="206"/>
      <c r="V69" s="206"/>
      <c r="W69" s="205"/>
      <c r="X69" s="6"/>
    </row>
    <row r="70" spans="1:24" ht="14.25" thickBot="1">
      <c r="A70" s="87">
        <v>56</v>
      </c>
      <c r="B70" s="288"/>
      <c r="C70" s="9"/>
      <c r="D70" s="244">
        <v>47001.1</v>
      </c>
      <c r="E70" s="9"/>
      <c r="F70" s="9"/>
      <c r="G70" s="9"/>
      <c r="H70" s="15"/>
      <c r="I70" s="16"/>
      <c r="J70" s="11"/>
      <c r="K70" s="9"/>
      <c r="L70" s="9"/>
      <c r="M70" s="9"/>
      <c r="N70" s="9"/>
      <c r="O70" s="12"/>
      <c r="P70" s="13"/>
      <c r="Q70" s="57"/>
      <c r="R70" s="166"/>
      <c r="S70" s="14"/>
      <c r="T70" s="181"/>
      <c r="U70" s="191"/>
      <c r="V70" s="191"/>
      <c r="W70" s="190"/>
      <c r="X70" s="6"/>
    </row>
    <row r="71" spans="1:24" ht="17.25" thickBot="1">
      <c r="A71" s="87"/>
      <c r="B71" s="288"/>
      <c r="C71" s="9"/>
      <c r="D71" s="41"/>
      <c r="E71" s="64"/>
      <c r="F71" s="9"/>
      <c r="G71" s="9"/>
      <c r="H71" s="15"/>
      <c r="I71" s="16"/>
      <c r="J71" s="11"/>
      <c r="K71" s="9"/>
      <c r="L71" s="9"/>
      <c r="M71" s="9"/>
      <c r="N71" s="9"/>
      <c r="O71" s="12"/>
      <c r="P71" s="13"/>
      <c r="Q71" s="92" t="s">
        <v>284</v>
      </c>
      <c r="R71" s="166"/>
      <c r="S71" s="14"/>
      <c r="T71" s="181"/>
      <c r="U71" s="183"/>
      <c r="V71" s="183"/>
      <c r="W71" s="193">
        <f>SUM(W66:W67)</f>
        <v>10487</v>
      </c>
      <c r="X71" s="6"/>
    </row>
    <row r="72" spans="1:24" ht="33.75" thickBot="1">
      <c r="A72" s="280"/>
      <c r="B72" s="293"/>
      <c r="C72" s="82"/>
      <c r="D72" s="88"/>
      <c r="E72" s="64"/>
      <c r="F72" s="82"/>
      <c r="G72" s="82"/>
      <c r="H72" s="83"/>
      <c r="I72" s="56"/>
      <c r="J72" s="55"/>
      <c r="K72" s="82"/>
      <c r="L72" s="82"/>
      <c r="M72" s="82"/>
      <c r="N72" s="82"/>
      <c r="O72" s="85"/>
      <c r="P72" s="252"/>
      <c r="Q72" s="253"/>
      <c r="R72" s="163">
        <f>SUM(W63:W65)</f>
        <v>37723.84</v>
      </c>
      <c r="S72" s="93"/>
      <c r="T72" s="231" t="s">
        <v>293</v>
      </c>
      <c r="U72" s="192"/>
      <c r="V72" s="251" t="s">
        <v>285</v>
      </c>
      <c r="W72" s="64"/>
      <c r="X72" s="6"/>
    </row>
    <row r="73" spans="1:24" ht="18" thickBot="1">
      <c r="A73" s="281" t="s">
        <v>134</v>
      </c>
      <c r="B73" s="294" t="s">
        <v>135</v>
      </c>
      <c r="C73" s="245"/>
      <c r="D73" s="245"/>
      <c r="E73" s="69"/>
      <c r="F73" s="69"/>
      <c r="G73" s="69"/>
      <c r="H73" s="70"/>
      <c r="I73" s="71"/>
      <c r="J73" s="72"/>
      <c r="K73" s="69"/>
      <c r="L73" s="69"/>
      <c r="M73" s="69"/>
      <c r="N73" s="69"/>
      <c r="O73" s="74"/>
      <c r="P73" s="73"/>
      <c r="Q73" s="91"/>
      <c r="R73" s="169"/>
      <c r="S73" s="90"/>
      <c r="T73" s="194"/>
      <c r="U73" s="191"/>
      <c r="V73" s="191"/>
      <c r="W73" s="207"/>
      <c r="X73" s="6"/>
    </row>
    <row r="74" spans="1:24" ht="14.25" thickBot="1">
      <c r="A74" s="87" t="s">
        <v>136</v>
      </c>
      <c r="B74" s="288"/>
      <c r="C74" s="9"/>
      <c r="D74" s="9"/>
      <c r="E74" s="9"/>
      <c r="F74" s="18" t="s">
        <v>2</v>
      </c>
      <c r="G74" s="18" t="s">
        <v>1</v>
      </c>
      <c r="H74" s="19" t="s">
        <v>21</v>
      </c>
      <c r="I74" s="20" t="s">
        <v>21</v>
      </c>
      <c r="J74" s="21" t="s">
        <v>3</v>
      </c>
      <c r="K74" s="9"/>
      <c r="L74" s="9"/>
      <c r="M74" s="9"/>
      <c r="N74" s="9"/>
      <c r="O74" s="12"/>
      <c r="P74" s="13"/>
      <c r="Q74" s="13"/>
      <c r="R74" s="166"/>
      <c r="S74" s="14"/>
      <c r="T74" s="181"/>
      <c r="U74" s="181"/>
      <c r="V74" s="181"/>
      <c r="W74" s="182"/>
      <c r="X74" s="6"/>
    </row>
    <row r="75" spans="1:24" ht="13.5">
      <c r="A75" s="278" t="s">
        <v>137</v>
      </c>
      <c r="B75" s="295" t="s">
        <v>22</v>
      </c>
      <c r="C75" s="247" t="s">
        <v>23</v>
      </c>
      <c r="D75" s="247" t="s">
        <v>24</v>
      </c>
      <c r="E75" s="247" t="s">
        <v>25</v>
      </c>
      <c r="F75" s="247" t="s">
        <v>26</v>
      </c>
      <c r="G75" s="247" t="s">
        <v>27</v>
      </c>
      <c r="H75" s="81" t="s">
        <v>28</v>
      </c>
      <c r="I75" s="43" t="s">
        <v>28</v>
      </c>
      <c r="J75" s="268" t="s">
        <v>29</v>
      </c>
      <c r="K75" s="44" t="s">
        <v>28</v>
      </c>
      <c r="L75" s="247" t="s">
        <v>30</v>
      </c>
      <c r="M75" s="247" t="s">
        <v>31</v>
      </c>
      <c r="N75" s="247" t="s">
        <v>32</v>
      </c>
      <c r="O75" s="270" t="s">
        <v>33</v>
      </c>
      <c r="P75" s="247" t="s">
        <v>34</v>
      </c>
      <c r="Q75" s="247" t="s">
        <v>35</v>
      </c>
      <c r="R75" s="272" t="s">
        <v>36</v>
      </c>
      <c r="S75" s="45" t="s">
        <v>37</v>
      </c>
      <c r="T75" s="197" t="s">
        <v>38</v>
      </c>
      <c r="U75" s="198"/>
      <c r="V75" s="198"/>
      <c r="W75" s="274" t="s">
        <v>295</v>
      </c>
      <c r="X75" s="6"/>
    </row>
    <row r="76" spans="1:24" ht="24.75" thickBot="1">
      <c r="A76" s="279"/>
      <c r="B76" s="296"/>
      <c r="C76" s="248"/>
      <c r="D76" s="248"/>
      <c r="E76" s="248"/>
      <c r="F76" s="248"/>
      <c r="G76" s="248"/>
      <c r="H76" s="46" t="s">
        <v>39</v>
      </c>
      <c r="I76" s="47" t="s">
        <v>39</v>
      </c>
      <c r="J76" s="269"/>
      <c r="K76" s="48" t="s">
        <v>41</v>
      </c>
      <c r="L76" s="248"/>
      <c r="M76" s="248"/>
      <c r="N76" s="248"/>
      <c r="O76" s="271"/>
      <c r="P76" s="248"/>
      <c r="Q76" s="248"/>
      <c r="R76" s="273"/>
      <c r="S76" s="49" t="s">
        <v>42</v>
      </c>
      <c r="T76" s="121">
        <v>2009</v>
      </c>
      <c r="U76" s="199" t="s">
        <v>43</v>
      </c>
      <c r="V76" s="199" t="s">
        <v>43</v>
      </c>
      <c r="W76" s="275"/>
      <c r="X76" s="6"/>
    </row>
    <row r="77" spans="1:24" ht="14.25" thickBot="1">
      <c r="A77" s="87">
        <v>60</v>
      </c>
      <c r="B77" s="297">
        <v>54</v>
      </c>
      <c r="C77" s="113">
        <v>5</v>
      </c>
      <c r="D77" s="101" t="s">
        <v>138</v>
      </c>
      <c r="E77" s="101" t="s">
        <v>139</v>
      </c>
      <c r="F77" s="113">
        <v>5</v>
      </c>
      <c r="G77" s="113">
        <v>300</v>
      </c>
      <c r="H77" s="114">
        <v>75</v>
      </c>
      <c r="I77" s="115">
        <v>75</v>
      </c>
      <c r="J77" s="116">
        <f>$J$4*1.5</f>
        <v>3.4799999999999995</v>
      </c>
      <c r="K77" s="113">
        <v>75</v>
      </c>
      <c r="L77" s="60">
        <v>60</v>
      </c>
      <c r="M77" s="60">
        <v>35</v>
      </c>
      <c r="N77" s="60">
        <v>32</v>
      </c>
      <c r="O77" s="62">
        <f aca="true" t="shared" si="12" ref="O77:O104">(M77+N77)/2</f>
        <v>33.5</v>
      </c>
      <c r="P77" s="243">
        <f aca="true" t="shared" si="13" ref="P77:P104">O77+L77</f>
        <v>93.5</v>
      </c>
      <c r="Q77" s="60" t="s">
        <v>287</v>
      </c>
      <c r="R77" s="167">
        <f>5184000/239.64</f>
        <v>21632.448673009516</v>
      </c>
      <c r="S77" s="63">
        <f>F77*G77*I77*J77/10</f>
        <v>39149.99999999999</v>
      </c>
      <c r="T77" s="200">
        <v>20400</v>
      </c>
      <c r="U77" s="200">
        <f aca="true" t="shared" si="14" ref="U77:U104">IF(S77&gt;R77,S77,R77)</f>
        <v>39149.99999999999</v>
      </c>
      <c r="V77" s="200">
        <f aca="true" t="shared" si="15" ref="V77:V104">IF(U77&gt;T77,T77,U77)</f>
        <v>20400</v>
      </c>
      <c r="W77" s="201">
        <f aca="true" t="shared" si="16" ref="W77:W100">V77</f>
        <v>20400</v>
      </c>
      <c r="X77" s="6"/>
    </row>
    <row r="78" spans="1:24" ht="24.75" thickBot="1">
      <c r="A78" s="87">
        <f aca="true" t="shared" si="17" ref="A78:A105">A77+1</f>
        <v>61</v>
      </c>
      <c r="B78" s="297">
        <v>91</v>
      </c>
      <c r="C78" s="113">
        <v>5</v>
      </c>
      <c r="D78" s="101" t="s">
        <v>140</v>
      </c>
      <c r="E78" s="101" t="s">
        <v>141</v>
      </c>
      <c r="F78" s="113">
        <v>4</v>
      </c>
      <c r="G78" s="113">
        <v>750</v>
      </c>
      <c r="H78" s="114">
        <v>36</v>
      </c>
      <c r="I78" s="115">
        <v>36</v>
      </c>
      <c r="J78" s="116">
        <f>$J$4*1.5</f>
        <v>3.4799999999999995</v>
      </c>
      <c r="K78" s="113">
        <v>40</v>
      </c>
      <c r="L78" s="60">
        <v>35</v>
      </c>
      <c r="M78" s="60">
        <v>28</v>
      </c>
      <c r="N78" s="60">
        <v>29</v>
      </c>
      <c r="O78" s="62">
        <f t="shared" si="12"/>
        <v>28.5</v>
      </c>
      <c r="P78" s="243">
        <f t="shared" si="13"/>
        <v>63.5</v>
      </c>
      <c r="Q78" s="60" t="s">
        <v>287</v>
      </c>
      <c r="R78" s="167">
        <v>5728</v>
      </c>
      <c r="S78" s="63">
        <f>F78*G78*I78*J78/10</f>
        <v>37583.99999999999</v>
      </c>
      <c r="T78" s="200">
        <v>10000</v>
      </c>
      <c r="U78" s="200">
        <f t="shared" si="14"/>
        <v>37583.99999999999</v>
      </c>
      <c r="V78" s="200">
        <f t="shared" si="15"/>
        <v>10000</v>
      </c>
      <c r="W78" s="201">
        <f t="shared" si="16"/>
        <v>10000</v>
      </c>
      <c r="X78" s="6"/>
    </row>
    <row r="79" spans="1:24" ht="36.75" thickBot="1">
      <c r="A79" s="87">
        <f>A78+1</f>
        <v>62</v>
      </c>
      <c r="B79" s="297">
        <v>119</v>
      </c>
      <c r="C79" s="113">
        <v>5</v>
      </c>
      <c r="D79" s="101" t="s">
        <v>142</v>
      </c>
      <c r="E79" s="101" t="s">
        <v>143</v>
      </c>
      <c r="F79" s="113">
        <v>4</v>
      </c>
      <c r="G79" s="113">
        <v>2000</v>
      </c>
      <c r="H79" s="114">
        <v>32</v>
      </c>
      <c r="I79" s="115">
        <v>32</v>
      </c>
      <c r="J79" s="116">
        <f>$J$4</f>
        <v>2.32</v>
      </c>
      <c r="K79" s="113">
        <v>32</v>
      </c>
      <c r="L79" s="60">
        <v>60</v>
      </c>
      <c r="M79" s="60">
        <v>31</v>
      </c>
      <c r="N79" s="60">
        <v>29</v>
      </c>
      <c r="O79" s="62">
        <f t="shared" si="12"/>
        <v>30</v>
      </c>
      <c r="P79" s="62">
        <f t="shared" si="13"/>
        <v>90</v>
      </c>
      <c r="Q79" s="60" t="s">
        <v>144</v>
      </c>
      <c r="R79" s="167">
        <f>700000/239.64</f>
        <v>2921.0482390252046</v>
      </c>
      <c r="S79" s="63">
        <f>F79*1000*I79*J79/10</f>
        <v>29696</v>
      </c>
      <c r="T79" s="200">
        <v>9334.93</v>
      </c>
      <c r="U79" s="200">
        <f t="shared" si="14"/>
        <v>29696</v>
      </c>
      <c r="V79" s="200">
        <f t="shared" si="15"/>
        <v>9334.93</v>
      </c>
      <c r="W79" s="201">
        <f t="shared" si="16"/>
        <v>9334.93</v>
      </c>
      <c r="X79" s="6"/>
    </row>
    <row r="80" spans="1:24" ht="24.75" thickBot="1">
      <c r="A80" s="87">
        <f t="shared" si="17"/>
        <v>63</v>
      </c>
      <c r="B80" s="297">
        <v>116</v>
      </c>
      <c r="C80" s="113">
        <v>5</v>
      </c>
      <c r="D80" s="101" t="s">
        <v>145</v>
      </c>
      <c r="E80" s="101" t="s">
        <v>146</v>
      </c>
      <c r="F80" s="113">
        <v>4</v>
      </c>
      <c r="G80" s="113">
        <v>1000</v>
      </c>
      <c r="H80" s="114">
        <v>30</v>
      </c>
      <c r="I80" s="115">
        <v>30</v>
      </c>
      <c r="J80" s="116">
        <f>$J$4</f>
        <v>2.32</v>
      </c>
      <c r="K80" s="113">
        <v>40</v>
      </c>
      <c r="L80" s="60">
        <v>55</v>
      </c>
      <c r="M80" s="60">
        <v>29</v>
      </c>
      <c r="N80" s="60">
        <v>31</v>
      </c>
      <c r="O80" s="62">
        <f t="shared" si="12"/>
        <v>30</v>
      </c>
      <c r="P80" s="62">
        <f t="shared" si="13"/>
        <v>85</v>
      </c>
      <c r="Q80" s="60" t="s">
        <v>144</v>
      </c>
      <c r="R80" s="167">
        <f>1360000/239.64</f>
        <v>5675.179435820398</v>
      </c>
      <c r="S80" s="63">
        <f>F80*G80*I80*J80/10</f>
        <v>27840</v>
      </c>
      <c r="T80" s="200">
        <v>5675</v>
      </c>
      <c r="U80" s="200">
        <f t="shared" si="14"/>
        <v>27840</v>
      </c>
      <c r="V80" s="200">
        <f t="shared" si="15"/>
        <v>5675</v>
      </c>
      <c r="W80" s="201">
        <f t="shared" si="16"/>
        <v>5675</v>
      </c>
      <c r="X80" s="6"/>
    </row>
    <row r="81" spans="1:24" ht="24.75" thickBot="1">
      <c r="A81" s="87">
        <f>A80+1</f>
        <v>64</v>
      </c>
      <c r="B81" s="297">
        <v>8</v>
      </c>
      <c r="C81" s="113">
        <v>5</v>
      </c>
      <c r="D81" s="101" t="s">
        <v>147</v>
      </c>
      <c r="E81" s="101" t="s">
        <v>148</v>
      </c>
      <c r="F81" s="113">
        <v>1</v>
      </c>
      <c r="G81" s="113">
        <v>500</v>
      </c>
      <c r="H81" s="114">
        <v>45</v>
      </c>
      <c r="I81" s="115">
        <v>45</v>
      </c>
      <c r="J81" s="116">
        <f>$J$4</f>
        <v>2.32</v>
      </c>
      <c r="K81" s="113">
        <v>46</v>
      </c>
      <c r="L81" s="60">
        <v>53</v>
      </c>
      <c r="M81" s="60">
        <v>31</v>
      </c>
      <c r="N81" s="60">
        <v>28</v>
      </c>
      <c r="O81" s="62">
        <f t="shared" si="12"/>
        <v>29.5</v>
      </c>
      <c r="P81" s="62">
        <f t="shared" si="13"/>
        <v>82.5</v>
      </c>
      <c r="Q81" s="60" t="s">
        <v>144</v>
      </c>
      <c r="R81" s="167">
        <f>1700000/239.64</f>
        <v>7093.974294775497</v>
      </c>
      <c r="S81" s="63">
        <f>F81*G81*I81*J81/10</f>
        <v>5220</v>
      </c>
      <c r="T81" s="200">
        <v>19964.58</v>
      </c>
      <c r="U81" s="200">
        <f t="shared" si="14"/>
        <v>7093.974294775497</v>
      </c>
      <c r="V81" s="200">
        <f t="shared" si="15"/>
        <v>7093.974294775497</v>
      </c>
      <c r="W81" s="201">
        <f t="shared" si="16"/>
        <v>7093.974294775497</v>
      </c>
      <c r="X81" s="6"/>
    </row>
    <row r="82" spans="1:24" ht="24.75" thickBot="1">
      <c r="A82" s="87">
        <f t="shared" si="17"/>
        <v>65</v>
      </c>
      <c r="B82" s="297">
        <v>2</v>
      </c>
      <c r="C82" s="113">
        <v>5</v>
      </c>
      <c r="D82" s="101" t="s">
        <v>149</v>
      </c>
      <c r="E82" s="101" t="s">
        <v>150</v>
      </c>
      <c r="F82" s="113">
        <v>2</v>
      </c>
      <c r="G82" s="113">
        <v>400</v>
      </c>
      <c r="H82" s="114">
        <v>10</v>
      </c>
      <c r="I82" s="115">
        <v>10</v>
      </c>
      <c r="J82" s="116">
        <f>$J$4</f>
        <v>2.32</v>
      </c>
      <c r="K82" s="113">
        <v>13</v>
      </c>
      <c r="L82" s="60">
        <v>50</v>
      </c>
      <c r="M82" s="60">
        <v>34</v>
      </c>
      <c r="N82" s="60">
        <v>30</v>
      </c>
      <c r="O82" s="62">
        <f t="shared" si="12"/>
        <v>32</v>
      </c>
      <c r="P82" s="62">
        <f t="shared" si="13"/>
        <v>82</v>
      </c>
      <c r="Q82" s="60" t="s">
        <v>48</v>
      </c>
      <c r="R82" s="167">
        <v>1991</v>
      </c>
      <c r="S82" s="63">
        <f>(F82*G82*I82*J82/10)*0.85</f>
        <v>1577.6</v>
      </c>
      <c r="T82" s="200">
        <v>6000</v>
      </c>
      <c r="U82" s="200">
        <f t="shared" si="14"/>
        <v>1991</v>
      </c>
      <c r="V82" s="200">
        <f t="shared" si="15"/>
        <v>1991</v>
      </c>
      <c r="W82" s="201">
        <f t="shared" si="16"/>
        <v>1991</v>
      </c>
      <c r="X82" s="6"/>
    </row>
    <row r="83" spans="1:24" ht="36.75" thickBot="1">
      <c r="A83" s="87"/>
      <c r="B83" s="297">
        <v>27</v>
      </c>
      <c r="C83" s="113">
        <v>5</v>
      </c>
      <c r="D83" s="101" t="s">
        <v>157</v>
      </c>
      <c r="E83" s="101" t="s">
        <v>158</v>
      </c>
      <c r="F83" s="113">
        <v>6</v>
      </c>
      <c r="G83" s="113">
        <v>400</v>
      </c>
      <c r="H83" s="114">
        <v>45</v>
      </c>
      <c r="I83" s="115">
        <v>20</v>
      </c>
      <c r="J83" s="116">
        <f>$J$4</f>
        <v>2.32</v>
      </c>
      <c r="K83" s="113">
        <v>50</v>
      </c>
      <c r="L83" s="60">
        <v>50</v>
      </c>
      <c r="M83" s="60">
        <v>34</v>
      </c>
      <c r="N83" s="60">
        <v>31</v>
      </c>
      <c r="O83" s="62">
        <f t="shared" si="12"/>
        <v>32.5</v>
      </c>
      <c r="P83" s="62">
        <v>82</v>
      </c>
      <c r="Q83" s="60" t="s">
        <v>48</v>
      </c>
      <c r="R83" s="167">
        <f>1421115/239.64</f>
        <v>5930.207811717577</v>
      </c>
      <c r="S83" s="63">
        <f>(4*G83*I83*J83/10)*0.75</f>
        <v>5568</v>
      </c>
      <c r="T83" s="200">
        <v>6000</v>
      </c>
      <c r="U83" s="200">
        <f t="shared" si="14"/>
        <v>5930.207811717577</v>
      </c>
      <c r="V83" s="200">
        <f t="shared" si="15"/>
        <v>5930.207811717577</v>
      </c>
      <c r="W83" s="201">
        <v>6000</v>
      </c>
      <c r="X83" s="6"/>
    </row>
    <row r="84" spans="1:24" ht="14.25" thickBot="1">
      <c r="A84" s="87">
        <f>A82+1</f>
        <v>66</v>
      </c>
      <c r="B84" s="297">
        <v>24</v>
      </c>
      <c r="C84" s="113">
        <v>5</v>
      </c>
      <c r="D84" s="101" t="s">
        <v>151</v>
      </c>
      <c r="E84" s="101" t="s">
        <v>152</v>
      </c>
      <c r="F84" s="113">
        <v>3</v>
      </c>
      <c r="G84" s="113">
        <v>420</v>
      </c>
      <c r="H84" s="114">
        <v>35</v>
      </c>
      <c r="I84" s="115">
        <v>35</v>
      </c>
      <c r="J84" s="116">
        <f>$J$4</f>
        <v>2.32</v>
      </c>
      <c r="K84" s="113">
        <v>35</v>
      </c>
      <c r="L84" s="60">
        <v>50</v>
      </c>
      <c r="M84" s="60">
        <v>30</v>
      </c>
      <c r="N84" s="60">
        <v>34</v>
      </c>
      <c r="O84" s="62">
        <f t="shared" si="12"/>
        <v>32</v>
      </c>
      <c r="P84" s="62">
        <f t="shared" si="13"/>
        <v>82</v>
      </c>
      <c r="Q84" s="60" t="s">
        <v>48</v>
      </c>
      <c r="R84" s="167">
        <f>1861216/239.64</f>
        <v>7766.716741779336</v>
      </c>
      <c r="S84" s="63">
        <f>(F84*G84*I84*J84/10)*0.85</f>
        <v>8696.52</v>
      </c>
      <c r="T84" s="200">
        <v>9300</v>
      </c>
      <c r="U84" s="200">
        <f t="shared" si="14"/>
        <v>8696.52</v>
      </c>
      <c r="V84" s="200">
        <f t="shared" si="15"/>
        <v>8696.52</v>
      </c>
      <c r="W84" s="201">
        <f t="shared" si="16"/>
        <v>8696.52</v>
      </c>
      <c r="X84" s="6"/>
    </row>
    <row r="85" spans="1:24" ht="14.25" thickBot="1">
      <c r="A85" s="87">
        <f t="shared" si="17"/>
        <v>67</v>
      </c>
      <c r="B85" s="297">
        <v>31</v>
      </c>
      <c r="C85" s="113">
        <v>5</v>
      </c>
      <c r="D85" s="101" t="s">
        <v>153</v>
      </c>
      <c r="E85" s="101" t="s">
        <v>154</v>
      </c>
      <c r="F85" s="113">
        <v>6</v>
      </c>
      <c r="G85" s="113">
        <v>500</v>
      </c>
      <c r="H85" s="114">
        <v>25</v>
      </c>
      <c r="I85" s="115">
        <v>20</v>
      </c>
      <c r="J85" s="116">
        <f>$J$4</f>
        <v>2.32</v>
      </c>
      <c r="K85" s="113">
        <v>42</v>
      </c>
      <c r="L85" s="60">
        <v>50</v>
      </c>
      <c r="M85" s="60">
        <v>29</v>
      </c>
      <c r="N85" s="60">
        <v>29</v>
      </c>
      <c r="O85" s="62">
        <f t="shared" si="12"/>
        <v>29</v>
      </c>
      <c r="P85" s="62">
        <f t="shared" si="13"/>
        <v>79</v>
      </c>
      <c r="Q85" s="60" t="s">
        <v>55</v>
      </c>
      <c r="R85" s="167">
        <v>3672</v>
      </c>
      <c r="S85" s="63">
        <f>(4*G85*I85*J85/10)*0.75</f>
        <v>6960</v>
      </c>
      <c r="T85" s="200">
        <v>5800</v>
      </c>
      <c r="U85" s="200">
        <f t="shared" si="14"/>
        <v>6960</v>
      </c>
      <c r="V85" s="200">
        <f t="shared" si="15"/>
        <v>5800</v>
      </c>
      <c r="W85" s="201">
        <f t="shared" si="16"/>
        <v>5800</v>
      </c>
      <c r="X85" s="6"/>
    </row>
    <row r="86" spans="1:24" ht="14.25" thickBot="1">
      <c r="A86" s="87">
        <f t="shared" si="17"/>
        <v>68</v>
      </c>
      <c r="B86" s="297">
        <v>89</v>
      </c>
      <c r="C86" s="113">
        <v>5</v>
      </c>
      <c r="D86" s="101" t="s">
        <v>155</v>
      </c>
      <c r="E86" s="101" t="s">
        <v>156</v>
      </c>
      <c r="F86" s="113">
        <v>4</v>
      </c>
      <c r="G86" s="113">
        <v>500</v>
      </c>
      <c r="H86" s="114">
        <v>33</v>
      </c>
      <c r="I86" s="115">
        <v>20</v>
      </c>
      <c r="J86" s="116">
        <f>$J$4</f>
        <v>2.32</v>
      </c>
      <c r="K86" s="113">
        <v>45</v>
      </c>
      <c r="L86" s="60">
        <v>45</v>
      </c>
      <c r="M86" s="60">
        <v>39</v>
      </c>
      <c r="N86" s="60">
        <v>28</v>
      </c>
      <c r="O86" s="62">
        <f t="shared" si="12"/>
        <v>33.5</v>
      </c>
      <c r="P86" s="62">
        <f t="shared" si="13"/>
        <v>78.5</v>
      </c>
      <c r="Q86" s="60" t="s">
        <v>55</v>
      </c>
      <c r="R86" s="167">
        <v>7624</v>
      </c>
      <c r="S86" s="63">
        <f aca="true" t="shared" si="18" ref="S86:S96">(F86*G86*I86*J86/10)*0.75</f>
        <v>6960</v>
      </c>
      <c r="T86" s="200">
        <v>14000</v>
      </c>
      <c r="U86" s="200">
        <f t="shared" si="14"/>
        <v>7624</v>
      </c>
      <c r="V86" s="200">
        <f t="shared" si="15"/>
        <v>7624</v>
      </c>
      <c r="W86" s="201">
        <f t="shared" si="16"/>
        <v>7624</v>
      </c>
      <c r="X86" s="6"/>
    </row>
    <row r="87" spans="1:24" ht="14.25" thickBot="1">
      <c r="A87" s="87"/>
      <c r="B87" s="297"/>
      <c r="C87" s="113"/>
      <c r="D87" s="101"/>
      <c r="E87" s="101"/>
      <c r="F87" s="113"/>
      <c r="G87" s="113"/>
      <c r="H87" s="114"/>
      <c r="I87" s="115"/>
      <c r="J87" s="116"/>
      <c r="K87" s="113"/>
      <c r="L87" s="60"/>
      <c r="M87" s="60"/>
      <c r="N87" s="60"/>
      <c r="O87" s="62"/>
      <c r="P87" s="62"/>
      <c r="Q87" s="60"/>
      <c r="R87" s="167"/>
      <c r="S87" s="63"/>
      <c r="T87" s="200"/>
      <c r="U87" s="200"/>
      <c r="V87" s="200"/>
      <c r="W87" s="201"/>
      <c r="X87" s="6"/>
    </row>
    <row r="88" spans="1:24" ht="14.25" thickBot="1">
      <c r="A88" s="87">
        <f t="shared" si="17"/>
        <v>1</v>
      </c>
      <c r="B88" s="297">
        <v>72</v>
      </c>
      <c r="C88" s="113">
        <v>5</v>
      </c>
      <c r="D88" s="101" t="s">
        <v>159</v>
      </c>
      <c r="E88" s="101" t="s">
        <v>160</v>
      </c>
      <c r="F88" s="113">
        <v>2</v>
      </c>
      <c r="G88" s="113">
        <v>400</v>
      </c>
      <c r="H88" s="114">
        <v>12</v>
      </c>
      <c r="I88" s="115">
        <v>12</v>
      </c>
      <c r="J88" s="116">
        <f>$J$4</f>
        <v>2.32</v>
      </c>
      <c r="K88" s="113">
        <v>12</v>
      </c>
      <c r="L88" s="60">
        <v>45</v>
      </c>
      <c r="M88" s="60">
        <v>33</v>
      </c>
      <c r="N88" s="60">
        <v>32</v>
      </c>
      <c r="O88" s="62">
        <f t="shared" si="12"/>
        <v>32.5</v>
      </c>
      <c r="P88" s="62">
        <f t="shared" si="13"/>
        <v>77.5</v>
      </c>
      <c r="Q88" s="60" t="s">
        <v>55</v>
      </c>
      <c r="R88" s="167">
        <v>3060</v>
      </c>
      <c r="S88" s="63">
        <f t="shared" si="18"/>
        <v>1670.3999999999999</v>
      </c>
      <c r="T88" s="200">
        <v>5000</v>
      </c>
      <c r="U88" s="200">
        <f t="shared" si="14"/>
        <v>3060</v>
      </c>
      <c r="V88" s="200">
        <f t="shared" si="15"/>
        <v>3060</v>
      </c>
      <c r="W88" s="201">
        <f t="shared" si="16"/>
        <v>3060</v>
      </c>
      <c r="X88" s="6"/>
    </row>
    <row r="89" spans="1:24" ht="14.25" thickBot="1">
      <c r="A89" s="87">
        <f t="shared" si="17"/>
        <v>2</v>
      </c>
      <c r="B89" s="297">
        <v>28</v>
      </c>
      <c r="C89" s="113">
        <v>5</v>
      </c>
      <c r="D89" s="101" t="s">
        <v>161</v>
      </c>
      <c r="E89" s="101" t="s">
        <v>162</v>
      </c>
      <c r="F89" s="113">
        <v>4</v>
      </c>
      <c r="G89" s="113">
        <v>600</v>
      </c>
      <c r="H89" s="114">
        <v>36</v>
      </c>
      <c r="I89" s="115">
        <v>20</v>
      </c>
      <c r="J89" s="116">
        <f>$J$4</f>
        <v>2.32</v>
      </c>
      <c r="K89" s="113">
        <v>58</v>
      </c>
      <c r="L89" s="60">
        <v>45</v>
      </c>
      <c r="M89" s="60">
        <v>29</v>
      </c>
      <c r="N89" s="60">
        <v>28</v>
      </c>
      <c r="O89" s="62">
        <f t="shared" si="12"/>
        <v>28.5</v>
      </c>
      <c r="P89" s="62">
        <f t="shared" si="13"/>
        <v>73.5</v>
      </c>
      <c r="Q89" s="60" t="s">
        <v>55</v>
      </c>
      <c r="R89" s="167">
        <v>4406</v>
      </c>
      <c r="S89" s="63">
        <f t="shared" si="18"/>
        <v>8351.999999999998</v>
      </c>
      <c r="T89" s="200">
        <v>6000</v>
      </c>
      <c r="U89" s="200">
        <f t="shared" si="14"/>
        <v>8351.999999999998</v>
      </c>
      <c r="V89" s="200">
        <f t="shared" si="15"/>
        <v>6000</v>
      </c>
      <c r="W89" s="201">
        <f t="shared" si="16"/>
        <v>6000</v>
      </c>
      <c r="X89" s="6"/>
    </row>
    <row r="90" spans="1:24" ht="24.75" thickBot="1">
      <c r="A90" s="87">
        <f t="shared" si="17"/>
        <v>3</v>
      </c>
      <c r="B90" s="297">
        <v>9</v>
      </c>
      <c r="C90" s="113">
        <v>5</v>
      </c>
      <c r="D90" s="101" t="s">
        <v>163</v>
      </c>
      <c r="E90" s="101" t="s">
        <v>164</v>
      </c>
      <c r="F90" s="113">
        <v>4</v>
      </c>
      <c r="G90" s="113">
        <v>700</v>
      </c>
      <c r="H90" s="114">
        <v>15</v>
      </c>
      <c r="I90" s="115">
        <v>15</v>
      </c>
      <c r="J90" s="116">
        <f>$J$4</f>
        <v>2.32</v>
      </c>
      <c r="K90" s="113">
        <v>50</v>
      </c>
      <c r="L90" s="60">
        <v>40</v>
      </c>
      <c r="M90" s="60">
        <v>32</v>
      </c>
      <c r="N90" s="60">
        <v>32</v>
      </c>
      <c r="O90" s="62">
        <f t="shared" si="12"/>
        <v>32</v>
      </c>
      <c r="P90" s="62">
        <f t="shared" si="13"/>
        <v>72</v>
      </c>
      <c r="Q90" s="60" t="s">
        <v>55</v>
      </c>
      <c r="R90" s="167">
        <v>10758.79</v>
      </c>
      <c r="S90" s="63">
        <f t="shared" si="18"/>
        <v>7308</v>
      </c>
      <c r="T90" s="200">
        <v>30000</v>
      </c>
      <c r="U90" s="200">
        <f t="shared" si="14"/>
        <v>10758.79</v>
      </c>
      <c r="V90" s="200">
        <f t="shared" si="15"/>
        <v>10758.79</v>
      </c>
      <c r="W90" s="201">
        <f t="shared" si="16"/>
        <v>10758.79</v>
      </c>
      <c r="X90" s="6"/>
    </row>
    <row r="91" spans="1:24" ht="14.25" thickBot="1">
      <c r="A91" s="87">
        <f t="shared" si="17"/>
        <v>4</v>
      </c>
      <c r="B91" s="297">
        <v>46</v>
      </c>
      <c r="C91" s="113">
        <v>5</v>
      </c>
      <c r="D91" s="101" t="s">
        <v>165</v>
      </c>
      <c r="E91" s="101" t="s">
        <v>166</v>
      </c>
      <c r="F91" s="113">
        <v>4</v>
      </c>
      <c r="G91" s="113">
        <v>300</v>
      </c>
      <c r="H91" s="114">
        <v>20</v>
      </c>
      <c r="I91" s="115">
        <v>20</v>
      </c>
      <c r="J91" s="116">
        <f>$J$4</f>
        <v>2.32</v>
      </c>
      <c r="K91" s="113">
        <v>30</v>
      </c>
      <c r="L91" s="60">
        <v>45</v>
      </c>
      <c r="M91" s="60">
        <v>27</v>
      </c>
      <c r="N91" s="60">
        <v>27</v>
      </c>
      <c r="O91" s="62">
        <f t="shared" si="12"/>
        <v>27</v>
      </c>
      <c r="P91" s="62">
        <f t="shared" si="13"/>
        <v>72</v>
      </c>
      <c r="Q91" s="60" t="s">
        <v>55</v>
      </c>
      <c r="R91" s="167">
        <v>2647</v>
      </c>
      <c r="S91" s="63">
        <f t="shared" si="18"/>
        <v>4175.999999999999</v>
      </c>
      <c r="T91" s="200">
        <v>3000</v>
      </c>
      <c r="U91" s="200">
        <f t="shared" si="14"/>
        <v>4175.999999999999</v>
      </c>
      <c r="V91" s="200">
        <f t="shared" si="15"/>
        <v>3000</v>
      </c>
      <c r="W91" s="201">
        <f t="shared" si="16"/>
        <v>3000</v>
      </c>
      <c r="X91" s="6"/>
    </row>
    <row r="92" spans="1:24" ht="14.25" thickBot="1">
      <c r="A92" s="87">
        <f t="shared" si="17"/>
        <v>5</v>
      </c>
      <c r="B92" s="297">
        <v>18</v>
      </c>
      <c r="C92" s="113">
        <v>5</v>
      </c>
      <c r="D92" s="101" t="s">
        <v>167</v>
      </c>
      <c r="E92" s="101" t="s">
        <v>168</v>
      </c>
      <c r="F92" s="113">
        <v>5</v>
      </c>
      <c r="G92" s="113">
        <v>820</v>
      </c>
      <c r="H92" s="114">
        <v>50</v>
      </c>
      <c r="I92" s="115">
        <v>20</v>
      </c>
      <c r="J92" s="116">
        <f>$J$4</f>
        <v>2.32</v>
      </c>
      <c r="K92" s="113">
        <v>70</v>
      </c>
      <c r="L92" s="60">
        <v>40</v>
      </c>
      <c r="M92" s="60">
        <v>29</v>
      </c>
      <c r="N92" s="60">
        <v>27</v>
      </c>
      <c r="O92" s="62">
        <f t="shared" si="12"/>
        <v>28</v>
      </c>
      <c r="P92" s="62">
        <f t="shared" si="13"/>
        <v>68</v>
      </c>
      <c r="Q92" s="60" t="s">
        <v>55</v>
      </c>
      <c r="R92" s="167">
        <v>12000</v>
      </c>
      <c r="S92" s="63">
        <f>(4*G92*I92*J92/10)*0.75</f>
        <v>11414.400000000001</v>
      </c>
      <c r="T92" s="200">
        <v>12500</v>
      </c>
      <c r="U92" s="200">
        <f t="shared" si="14"/>
        <v>12000</v>
      </c>
      <c r="V92" s="200">
        <f t="shared" si="15"/>
        <v>12000</v>
      </c>
      <c r="W92" s="201">
        <f t="shared" si="16"/>
        <v>12000</v>
      </c>
      <c r="X92" s="6"/>
    </row>
    <row r="93" spans="1:24" ht="14.25" thickBot="1">
      <c r="A93" s="87">
        <f t="shared" si="17"/>
        <v>6</v>
      </c>
      <c r="B93" s="297">
        <v>19</v>
      </c>
      <c r="C93" s="113">
        <v>5</v>
      </c>
      <c r="D93" s="101" t="s">
        <v>169</v>
      </c>
      <c r="E93" s="101" t="s">
        <v>170</v>
      </c>
      <c r="F93" s="113">
        <v>4</v>
      </c>
      <c r="G93" s="113">
        <v>300</v>
      </c>
      <c r="H93" s="114">
        <v>30</v>
      </c>
      <c r="I93" s="115">
        <v>20</v>
      </c>
      <c r="J93" s="116">
        <f>$J$4</f>
        <v>2.32</v>
      </c>
      <c r="K93" s="113">
        <v>40</v>
      </c>
      <c r="L93" s="60">
        <v>40</v>
      </c>
      <c r="M93" s="60">
        <v>29</v>
      </c>
      <c r="N93" s="60">
        <v>27</v>
      </c>
      <c r="O93" s="62">
        <f t="shared" si="12"/>
        <v>28</v>
      </c>
      <c r="P93" s="62">
        <f t="shared" si="13"/>
        <v>68</v>
      </c>
      <c r="Q93" s="60" t="s">
        <v>55</v>
      </c>
      <c r="R93" s="167">
        <v>0</v>
      </c>
      <c r="S93" s="63">
        <f t="shared" si="18"/>
        <v>4175.999999999999</v>
      </c>
      <c r="T93" s="200">
        <v>19280</v>
      </c>
      <c r="U93" s="200">
        <f t="shared" si="14"/>
        <v>4175.999999999999</v>
      </c>
      <c r="V93" s="200">
        <f t="shared" si="15"/>
        <v>4175.999999999999</v>
      </c>
      <c r="W93" s="201">
        <f t="shared" si="16"/>
        <v>4175.999999999999</v>
      </c>
      <c r="X93" s="6"/>
    </row>
    <row r="94" spans="1:24" ht="14.25" thickBot="1">
      <c r="A94" s="87">
        <f t="shared" si="17"/>
        <v>7</v>
      </c>
      <c r="B94" s="292">
        <v>92</v>
      </c>
      <c r="C94" s="31">
        <v>5</v>
      </c>
      <c r="D94" s="35" t="s">
        <v>138</v>
      </c>
      <c r="E94" s="101" t="s">
        <v>171</v>
      </c>
      <c r="F94" s="31">
        <v>6</v>
      </c>
      <c r="G94" s="31">
        <v>500</v>
      </c>
      <c r="H94" s="32">
        <v>120</v>
      </c>
      <c r="I94" s="33">
        <v>20</v>
      </c>
      <c r="J94" s="11">
        <f>$J$4</f>
        <v>2.32</v>
      </c>
      <c r="K94" s="31">
        <v>120</v>
      </c>
      <c r="L94" s="13">
        <v>35</v>
      </c>
      <c r="M94" s="13">
        <v>34</v>
      </c>
      <c r="N94" s="13">
        <v>31</v>
      </c>
      <c r="O94" s="12">
        <f t="shared" si="12"/>
        <v>32.5</v>
      </c>
      <c r="P94" s="12">
        <f t="shared" si="13"/>
        <v>67.5</v>
      </c>
      <c r="Q94" s="13" t="s">
        <v>55</v>
      </c>
      <c r="R94" s="166">
        <f>5100000/239.64</f>
        <v>21281.92288432649</v>
      </c>
      <c r="S94" s="34">
        <f>(4*G94*I94*J94/10)*0.75</f>
        <v>6960</v>
      </c>
      <c r="T94" s="187">
        <v>32220</v>
      </c>
      <c r="U94" s="187">
        <f t="shared" si="14"/>
        <v>21281.92288432649</v>
      </c>
      <c r="V94" s="187">
        <f t="shared" si="15"/>
        <v>21281.92288432649</v>
      </c>
      <c r="W94" s="203">
        <f t="shared" si="16"/>
        <v>21281.92288432649</v>
      </c>
      <c r="X94" s="6"/>
    </row>
    <row r="95" spans="1:24" ht="14.25" thickBot="1">
      <c r="A95" s="87">
        <f t="shared" si="17"/>
        <v>8</v>
      </c>
      <c r="B95" s="292">
        <v>120</v>
      </c>
      <c r="C95" s="31">
        <v>5</v>
      </c>
      <c r="D95" s="35" t="s">
        <v>142</v>
      </c>
      <c r="E95" s="35" t="s">
        <v>172</v>
      </c>
      <c r="F95" s="31">
        <v>4</v>
      </c>
      <c r="G95" s="31">
        <v>2000</v>
      </c>
      <c r="H95" s="32">
        <v>26</v>
      </c>
      <c r="I95" s="33">
        <v>20</v>
      </c>
      <c r="J95" s="11">
        <f>$J$4</f>
        <v>2.32</v>
      </c>
      <c r="K95" s="31">
        <v>28</v>
      </c>
      <c r="L95" s="13">
        <v>40</v>
      </c>
      <c r="M95" s="13">
        <v>25</v>
      </c>
      <c r="N95" s="13">
        <v>27</v>
      </c>
      <c r="O95" s="12">
        <f t="shared" si="12"/>
        <v>26</v>
      </c>
      <c r="P95" s="12">
        <f t="shared" si="13"/>
        <v>66</v>
      </c>
      <c r="Q95" s="13" t="s">
        <v>55</v>
      </c>
      <c r="R95" s="166">
        <v>5786</v>
      </c>
      <c r="S95" s="34">
        <f t="shared" si="18"/>
        <v>27840</v>
      </c>
      <c r="T95" s="187">
        <v>8406.32</v>
      </c>
      <c r="U95" s="187">
        <f t="shared" si="14"/>
        <v>27840</v>
      </c>
      <c r="V95" s="187">
        <f t="shared" si="15"/>
        <v>8406.32</v>
      </c>
      <c r="W95" s="203">
        <f t="shared" si="16"/>
        <v>8406.32</v>
      </c>
      <c r="X95" s="6"/>
    </row>
    <row r="96" spans="1:24" ht="14.25" thickBot="1">
      <c r="A96" s="87">
        <f t="shared" si="17"/>
        <v>9</v>
      </c>
      <c r="B96" s="292">
        <v>111</v>
      </c>
      <c r="C96" s="31">
        <v>5</v>
      </c>
      <c r="D96" s="35" t="s">
        <v>173</v>
      </c>
      <c r="E96" s="35" t="s">
        <v>174</v>
      </c>
      <c r="F96" s="31">
        <v>2</v>
      </c>
      <c r="G96" s="31">
        <v>500</v>
      </c>
      <c r="H96" s="32">
        <v>25</v>
      </c>
      <c r="I96" s="33">
        <v>20</v>
      </c>
      <c r="J96" s="11">
        <f>$J$4</f>
        <v>2.32</v>
      </c>
      <c r="K96" s="31">
        <v>40</v>
      </c>
      <c r="L96" s="13">
        <v>35</v>
      </c>
      <c r="M96" s="13">
        <v>30</v>
      </c>
      <c r="N96" s="13">
        <v>31</v>
      </c>
      <c r="O96" s="12">
        <f t="shared" si="12"/>
        <v>30.5</v>
      </c>
      <c r="P96" s="12">
        <f t="shared" si="13"/>
        <v>65.5</v>
      </c>
      <c r="Q96" s="13" t="s">
        <v>55</v>
      </c>
      <c r="R96" s="166">
        <f>620000/239.64</f>
        <v>2587.214154565181</v>
      </c>
      <c r="S96" s="34">
        <f t="shared" si="18"/>
        <v>3480</v>
      </c>
      <c r="T96" s="187">
        <v>8000</v>
      </c>
      <c r="U96" s="187">
        <f t="shared" si="14"/>
        <v>3480</v>
      </c>
      <c r="V96" s="187">
        <f t="shared" si="15"/>
        <v>3480</v>
      </c>
      <c r="W96" s="203">
        <f t="shared" si="16"/>
        <v>3480</v>
      </c>
      <c r="X96" s="6"/>
    </row>
    <row r="97" spans="1:24" ht="14.25" thickBot="1">
      <c r="A97" s="87">
        <f t="shared" si="17"/>
        <v>10</v>
      </c>
      <c r="B97" s="292">
        <v>110</v>
      </c>
      <c r="C97" s="31">
        <v>5</v>
      </c>
      <c r="D97" s="35" t="s">
        <v>175</v>
      </c>
      <c r="E97" s="35" t="s">
        <v>176</v>
      </c>
      <c r="F97" s="31">
        <v>4</v>
      </c>
      <c r="G97" s="31">
        <v>750</v>
      </c>
      <c r="H97" s="32">
        <v>17</v>
      </c>
      <c r="I97" s="33">
        <v>17</v>
      </c>
      <c r="J97" s="11">
        <f>$J$4</f>
        <v>2.32</v>
      </c>
      <c r="K97" s="31">
        <v>28</v>
      </c>
      <c r="L97" s="13">
        <v>35</v>
      </c>
      <c r="M97" s="13">
        <v>30</v>
      </c>
      <c r="N97" s="13">
        <v>27</v>
      </c>
      <c r="O97" s="12">
        <f t="shared" si="12"/>
        <v>28.5</v>
      </c>
      <c r="P97" s="12">
        <f t="shared" si="13"/>
        <v>63.5</v>
      </c>
      <c r="Q97" s="13" t="s">
        <v>67</v>
      </c>
      <c r="R97" s="166">
        <v>5949</v>
      </c>
      <c r="S97" s="34">
        <f>(F97*G97*I97*J97/10)*$J$5</f>
        <v>0</v>
      </c>
      <c r="T97" s="187">
        <v>7500</v>
      </c>
      <c r="U97" s="187">
        <f t="shared" si="14"/>
        <v>5949</v>
      </c>
      <c r="V97" s="187">
        <f t="shared" si="15"/>
        <v>5949</v>
      </c>
      <c r="W97" s="203">
        <f t="shared" si="16"/>
        <v>5949</v>
      </c>
      <c r="X97" s="6"/>
    </row>
    <row r="98" spans="1:24" ht="24.75" thickBot="1">
      <c r="A98" s="87">
        <f t="shared" si="17"/>
        <v>11</v>
      </c>
      <c r="B98" s="292">
        <v>122</v>
      </c>
      <c r="C98" s="31">
        <v>5</v>
      </c>
      <c r="D98" s="35" t="s">
        <v>177</v>
      </c>
      <c r="E98" s="101" t="s">
        <v>178</v>
      </c>
      <c r="F98" s="31">
        <v>12</v>
      </c>
      <c r="G98" s="31">
        <v>900</v>
      </c>
      <c r="H98" s="32">
        <v>50</v>
      </c>
      <c r="I98" s="33">
        <v>20</v>
      </c>
      <c r="J98" s="11">
        <f>$J$4</f>
        <v>2.32</v>
      </c>
      <c r="K98" s="31">
        <v>60</v>
      </c>
      <c r="L98" s="13">
        <v>25</v>
      </c>
      <c r="M98" s="13">
        <v>30</v>
      </c>
      <c r="N98" s="13">
        <v>29</v>
      </c>
      <c r="O98" s="12">
        <f t="shared" si="12"/>
        <v>29.5</v>
      </c>
      <c r="P98" s="12">
        <f t="shared" si="13"/>
        <v>54.5</v>
      </c>
      <c r="Q98" s="13" t="s">
        <v>67</v>
      </c>
      <c r="R98" s="166">
        <f>1700000/239.64</f>
        <v>7093.974294775497</v>
      </c>
      <c r="S98" s="34">
        <f>(4*G98*I98*J98/10)*$J$5</f>
        <v>0</v>
      </c>
      <c r="T98" s="187">
        <v>15000</v>
      </c>
      <c r="U98" s="187">
        <f t="shared" si="14"/>
        <v>7093.974294775497</v>
      </c>
      <c r="V98" s="187">
        <f t="shared" si="15"/>
        <v>7093.974294775497</v>
      </c>
      <c r="W98" s="203">
        <v>8352</v>
      </c>
      <c r="X98" s="6"/>
    </row>
    <row r="99" spans="1:24" ht="24.75" thickBot="1">
      <c r="A99" s="87">
        <f t="shared" si="17"/>
        <v>12</v>
      </c>
      <c r="B99" s="292">
        <v>112</v>
      </c>
      <c r="C99" s="31">
        <v>5</v>
      </c>
      <c r="D99" s="35" t="s">
        <v>179</v>
      </c>
      <c r="E99" s="35" t="s">
        <v>180</v>
      </c>
      <c r="F99" s="31">
        <v>3</v>
      </c>
      <c r="G99" s="31">
        <v>4000</v>
      </c>
      <c r="H99" s="32">
        <v>24</v>
      </c>
      <c r="I99" s="33">
        <v>20</v>
      </c>
      <c r="J99" s="11">
        <f>$J$4</f>
        <v>2.32</v>
      </c>
      <c r="K99" s="31">
        <v>35</v>
      </c>
      <c r="L99" s="13">
        <v>25</v>
      </c>
      <c r="M99" s="13">
        <v>30</v>
      </c>
      <c r="N99" s="13">
        <v>27</v>
      </c>
      <c r="O99" s="12">
        <f t="shared" si="12"/>
        <v>28.5</v>
      </c>
      <c r="P99" s="12">
        <f t="shared" si="13"/>
        <v>53.5</v>
      </c>
      <c r="Q99" s="13" t="s">
        <v>67</v>
      </c>
      <c r="R99" s="166">
        <v>0</v>
      </c>
      <c r="S99" s="34">
        <f>(F99*1000*I99*J99/10)*$J$5</f>
        <v>0</v>
      </c>
      <c r="T99" s="187">
        <v>18625</v>
      </c>
      <c r="U99" s="187">
        <f t="shared" si="14"/>
        <v>0</v>
      </c>
      <c r="V99" s="187">
        <f t="shared" si="15"/>
        <v>0</v>
      </c>
      <c r="W99" s="203">
        <v>6960</v>
      </c>
      <c r="X99" s="6"/>
    </row>
    <row r="100" spans="1:24" ht="14.25" thickBot="1">
      <c r="A100" s="87">
        <f t="shared" si="17"/>
        <v>13</v>
      </c>
      <c r="B100" s="292">
        <v>79</v>
      </c>
      <c r="C100" s="31">
        <v>5</v>
      </c>
      <c r="D100" s="35" t="s">
        <v>181</v>
      </c>
      <c r="E100" s="35" t="s">
        <v>182</v>
      </c>
      <c r="F100" s="31">
        <v>4</v>
      </c>
      <c r="G100" s="31">
        <v>500</v>
      </c>
      <c r="H100" s="32">
        <v>13</v>
      </c>
      <c r="I100" s="33">
        <v>13</v>
      </c>
      <c r="J100" s="11">
        <f>$J$4</f>
        <v>2.32</v>
      </c>
      <c r="K100" s="31">
        <v>30</v>
      </c>
      <c r="L100" s="13">
        <v>25</v>
      </c>
      <c r="M100" s="13">
        <v>27</v>
      </c>
      <c r="N100" s="13">
        <v>29</v>
      </c>
      <c r="O100" s="12">
        <f t="shared" si="12"/>
        <v>28</v>
      </c>
      <c r="P100" s="12">
        <f t="shared" si="13"/>
        <v>53</v>
      </c>
      <c r="Q100" s="13" t="s">
        <v>67</v>
      </c>
      <c r="R100" s="166">
        <v>3060</v>
      </c>
      <c r="S100" s="34">
        <f>(F100*G100*I100*J100/10)*$J$5</f>
        <v>0</v>
      </c>
      <c r="T100" s="187">
        <v>8000</v>
      </c>
      <c r="U100" s="187">
        <f t="shared" si="14"/>
        <v>3060</v>
      </c>
      <c r="V100" s="187">
        <f t="shared" si="15"/>
        <v>3060</v>
      </c>
      <c r="W100" s="203">
        <f t="shared" si="16"/>
        <v>3060</v>
      </c>
      <c r="X100" s="6"/>
    </row>
    <row r="101" spans="1:24" ht="14.25" thickBot="1">
      <c r="A101" s="87">
        <f t="shared" si="17"/>
        <v>14</v>
      </c>
      <c r="B101" s="292">
        <v>43</v>
      </c>
      <c r="C101" s="31">
        <v>5</v>
      </c>
      <c r="D101" s="35" t="s">
        <v>183</v>
      </c>
      <c r="E101" s="35" t="s">
        <v>184</v>
      </c>
      <c r="F101" s="31">
        <v>11</v>
      </c>
      <c r="G101" s="31">
        <v>600</v>
      </c>
      <c r="H101" s="32">
        <v>30</v>
      </c>
      <c r="I101" s="33">
        <v>20</v>
      </c>
      <c r="J101" s="11">
        <f>$J$4</f>
        <v>2.32</v>
      </c>
      <c r="K101" s="31">
        <v>66</v>
      </c>
      <c r="L101" s="13">
        <v>25</v>
      </c>
      <c r="M101" s="13">
        <v>28</v>
      </c>
      <c r="N101" s="13">
        <v>27</v>
      </c>
      <c r="O101" s="12">
        <f t="shared" si="12"/>
        <v>27.5</v>
      </c>
      <c r="P101" s="12">
        <f t="shared" si="13"/>
        <v>52.5</v>
      </c>
      <c r="Q101" s="13" t="s">
        <v>67</v>
      </c>
      <c r="R101" s="166">
        <v>5535</v>
      </c>
      <c r="S101" s="34">
        <f>(4*G101*I101*J101/10)*$J$5</f>
        <v>0</v>
      </c>
      <c r="T101" s="187">
        <v>10000</v>
      </c>
      <c r="U101" s="187">
        <f t="shared" si="14"/>
        <v>5535</v>
      </c>
      <c r="V101" s="187">
        <f t="shared" si="15"/>
        <v>5535</v>
      </c>
      <c r="W101" s="203">
        <v>5568</v>
      </c>
      <c r="X101" s="6"/>
    </row>
    <row r="102" spans="1:24" ht="14.25" thickBot="1">
      <c r="A102" s="87">
        <f t="shared" si="17"/>
        <v>15</v>
      </c>
      <c r="B102" s="292">
        <v>90</v>
      </c>
      <c r="C102" s="31">
        <v>5</v>
      </c>
      <c r="D102" s="35" t="s">
        <v>185</v>
      </c>
      <c r="E102" s="35" t="s">
        <v>186</v>
      </c>
      <c r="F102" s="31">
        <v>3</v>
      </c>
      <c r="G102" s="31">
        <v>100</v>
      </c>
      <c r="H102" s="32">
        <v>9</v>
      </c>
      <c r="I102" s="33">
        <v>9</v>
      </c>
      <c r="J102" s="11">
        <f>$J$4</f>
        <v>2.32</v>
      </c>
      <c r="K102" s="31">
        <v>10</v>
      </c>
      <c r="L102" s="13">
        <v>30</v>
      </c>
      <c r="M102" s="13">
        <v>17</v>
      </c>
      <c r="N102" s="13">
        <v>27</v>
      </c>
      <c r="O102" s="12">
        <f t="shared" si="12"/>
        <v>22</v>
      </c>
      <c r="P102" s="12">
        <f t="shared" si="13"/>
        <v>52</v>
      </c>
      <c r="Q102" s="13" t="s">
        <v>67</v>
      </c>
      <c r="R102" s="166">
        <v>0</v>
      </c>
      <c r="S102" s="34">
        <f>(F102*G102*I102*J102/10)*$J$5</f>
        <v>0</v>
      </c>
      <c r="T102" s="187">
        <v>3000</v>
      </c>
      <c r="U102" s="187">
        <f t="shared" si="14"/>
        <v>0</v>
      </c>
      <c r="V102" s="187">
        <f t="shared" si="15"/>
        <v>0</v>
      </c>
      <c r="W102" s="203">
        <v>1000</v>
      </c>
      <c r="X102" s="6"/>
    </row>
    <row r="103" spans="1:24" ht="14.25" thickBot="1">
      <c r="A103" s="87">
        <f t="shared" si="17"/>
        <v>16</v>
      </c>
      <c r="B103" s="292">
        <v>105</v>
      </c>
      <c r="C103" s="31">
        <v>5</v>
      </c>
      <c r="D103" s="35" t="s">
        <v>187</v>
      </c>
      <c r="E103" s="35" t="s">
        <v>188</v>
      </c>
      <c r="F103" s="31">
        <v>4</v>
      </c>
      <c r="G103" s="31">
        <v>600</v>
      </c>
      <c r="H103" s="32">
        <v>70</v>
      </c>
      <c r="I103" s="33">
        <v>20</v>
      </c>
      <c r="J103" s="11">
        <f>$J$4</f>
        <v>2.32</v>
      </c>
      <c r="K103" s="31">
        <v>117</v>
      </c>
      <c r="L103" s="13">
        <v>20</v>
      </c>
      <c r="M103" s="13">
        <v>31</v>
      </c>
      <c r="N103" s="13">
        <v>24</v>
      </c>
      <c r="O103" s="12">
        <f t="shared" si="12"/>
        <v>27.5</v>
      </c>
      <c r="P103" s="12">
        <f t="shared" si="13"/>
        <v>47.5</v>
      </c>
      <c r="Q103" s="13" t="s">
        <v>67</v>
      </c>
      <c r="R103" s="166">
        <v>7755</v>
      </c>
      <c r="S103" s="34">
        <f>(F103*G103*I103*J103/10)*$J$5</f>
        <v>0</v>
      </c>
      <c r="T103" s="187">
        <v>24624</v>
      </c>
      <c r="U103" s="187">
        <f t="shared" si="14"/>
        <v>7755</v>
      </c>
      <c r="V103" s="187">
        <f t="shared" si="15"/>
        <v>7755</v>
      </c>
      <c r="W103" s="203">
        <f>V103</f>
        <v>7755</v>
      </c>
      <c r="X103" s="6"/>
    </row>
    <row r="104" spans="1:24" ht="14.25" thickBot="1">
      <c r="A104" s="87">
        <f t="shared" si="17"/>
        <v>17</v>
      </c>
      <c r="B104" s="292">
        <v>88</v>
      </c>
      <c r="C104" s="31">
        <v>5</v>
      </c>
      <c r="D104" s="35" t="s">
        <v>189</v>
      </c>
      <c r="E104" s="35" t="s">
        <v>190</v>
      </c>
      <c r="F104" s="31">
        <v>11</v>
      </c>
      <c r="G104" s="31">
        <v>1250</v>
      </c>
      <c r="H104" s="32">
        <v>40</v>
      </c>
      <c r="I104" s="33">
        <v>20</v>
      </c>
      <c r="J104" s="11">
        <f>$J$4</f>
        <v>2.32</v>
      </c>
      <c r="K104" s="31">
        <v>80</v>
      </c>
      <c r="L104" s="13">
        <v>20</v>
      </c>
      <c r="M104" s="13">
        <v>23</v>
      </c>
      <c r="N104" s="13">
        <v>26</v>
      </c>
      <c r="O104" s="12">
        <f t="shared" si="12"/>
        <v>24.5</v>
      </c>
      <c r="P104" s="12">
        <f t="shared" si="13"/>
        <v>44.5</v>
      </c>
      <c r="Q104" s="13" t="s">
        <v>67</v>
      </c>
      <c r="R104" s="166">
        <v>7344</v>
      </c>
      <c r="S104" s="34">
        <f>(4*1000*I104*J104/10)*$J$5</f>
        <v>0</v>
      </c>
      <c r="T104" s="187">
        <v>53000</v>
      </c>
      <c r="U104" s="187">
        <f t="shared" si="14"/>
        <v>7344</v>
      </c>
      <c r="V104" s="187">
        <f t="shared" si="15"/>
        <v>7344</v>
      </c>
      <c r="W104" s="203">
        <v>9280</v>
      </c>
      <c r="X104" s="6"/>
    </row>
    <row r="105" spans="1:24" ht="19.5" thickBot="1">
      <c r="A105" s="87">
        <f t="shared" si="17"/>
        <v>18</v>
      </c>
      <c r="B105" s="288"/>
      <c r="C105" s="9"/>
      <c r="D105" s="9"/>
      <c r="E105" s="9"/>
      <c r="F105" s="9"/>
      <c r="G105" s="9"/>
      <c r="H105" s="15"/>
      <c r="I105" s="16"/>
      <c r="J105" s="11"/>
      <c r="K105" s="9"/>
      <c r="L105" s="9"/>
      <c r="M105" s="9"/>
      <c r="N105" s="9"/>
      <c r="O105" s="12"/>
      <c r="P105" s="13"/>
      <c r="Q105" s="58" t="s">
        <v>71</v>
      </c>
      <c r="R105" s="170"/>
      <c r="S105" s="38">
        <f>SUM(S77:S104)</f>
        <v>244628.91999999998</v>
      </c>
      <c r="T105" s="188">
        <f>SUM(T77:T104)</f>
        <v>370629.83</v>
      </c>
      <c r="U105" s="188"/>
      <c r="V105" s="188"/>
      <c r="W105" s="202">
        <f>SUM(W77:W104)</f>
        <v>202702.457179102</v>
      </c>
      <c r="X105" s="6"/>
    </row>
    <row r="106" spans="1:24" ht="14.25" thickBot="1">
      <c r="A106" s="87"/>
      <c r="B106" s="288"/>
      <c r="C106" s="9"/>
      <c r="D106" s="51" t="s">
        <v>191</v>
      </c>
      <c r="E106" s="9"/>
      <c r="F106" s="9"/>
      <c r="G106" s="9"/>
      <c r="H106" s="15"/>
      <c r="I106" s="16"/>
      <c r="J106" s="11"/>
      <c r="K106" s="9"/>
      <c r="L106" s="9"/>
      <c r="M106" s="9"/>
      <c r="N106" s="9"/>
      <c r="O106" s="12"/>
      <c r="P106" s="13"/>
      <c r="Q106" s="59"/>
      <c r="R106" s="170"/>
      <c r="S106" s="34"/>
      <c r="T106" s="204"/>
      <c r="U106" s="206"/>
      <c r="V106" s="206"/>
      <c r="W106" s="205"/>
      <c r="X106" s="6"/>
    </row>
    <row r="107" spans="1:24" ht="17.25" thickBot="1">
      <c r="A107" s="87">
        <f>A105+1</f>
        <v>19</v>
      </c>
      <c r="B107" s="288"/>
      <c r="C107" s="9"/>
      <c r="D107" s="244">
        <v>199754.66</v>
      </c>
      <c r="E107" s="9"/>
      <c r="F107" s="9"/>
      <c r="G107" s="9"/>
      <c r="H107" s="15"/>
      <c r="I107" s="16"/>
      <c r="J107" s="11"/>
      <c r="K107" s="9"/>
      <c r="L107" s="9"/>
      <c r="M107" s="9"/>
      <c r="N107" s="9"/>
      <c r="O107" s="12"/>
      <c r="P107" s="13"/>
      <c r="Q107" s="92" t="s">
        <v>284</v>
      </c>
      <c r="R107" s="166"/>
      <c r="S107" s="14"/>
      <c r="T107" s="181"/>
      <c r="U107" s="191"/>
      <c r="V107" s="191"/>
      <c r="W107" s="257">
        <f>SUM(W85:W104)</f>
        <v>133511.0328843265</v>
      </c>
      <c r="X107" s="6"/>
    </row>
    <row r="108" spans="1:24" ht="18" thickBot="1">
      <c r="A108" s="281" t="s">
        <v>192</v>
      </c>
      <c r="B108" s="294" t="s">
        <v>193</v>
      </c>
      <c r="C108" s="245"/>
      <c r="D108" s="245"/>
      <c r="E108" s="69"/>
      <c r="F108" s="69"/>
      <c r="G108" s="69"/>
      <c r="H108" s="70"/>
      <c r="I108" s="71"/>
      <c r="J108" s="72"/>
      <c r="K108" s="69"/>
      <c r="L108" s="69"/>
      <c r="M108" s="69"/>
      <c r="N108" s="69"/>
      <c r="O108" s="74"/>
      <c r="P108" s="73"/>
      <c r="Q108" s="86"/>
      <c r="R108" s="169"/>
      <c r="S108" s="90"/>
      <c r="T108" s="194"/>
      <c r="U108" s="191"/>
      <c r="V108" s="191"/>
      <c r="W108" s="207"/>
      <c r="X108" s="6"/>
    </row>
    <row r="109" spans="1:24" ht="14.25" thickBot="1">
      <c r="A109" s="87" t="s">
        <v>194</v>
      </c>
      <c r="B109" s="288"/>
      <c r="C109" s="9"/>
      <c r="D109" s="9"/>
      <c r="E109" s="9"/>
      <c r="F109" s="18" t="s">
        <v>2</v>
      </c>
      <c r="G109" s="18" t="s">
        <v>1</v>
      </c>
      <c r="H109" s="19" t="s">
        <v>21</v>
      </c>
      <c r="I109" s="20" t="s">
        <v>21</v>
      </c>
      <c r="J109" s="21" t="s">
        <v>3</v>
      </c>
      <c r="K109" s="9"/>
      <c r="L109" s="9"/>
      <c r="M109" s="9"/>
      <c r="N109" s="9"/>
      <c r="O109" s="12"/>
      <c r="P109" s="13"/>
      <c r="Q109" s="13"/>
      <c r="R109" s="166"/>
      <c r="S109" s="14"/>
      <c r="T109" s="181"/>
      <c r="U109" s="181"/>
      <c r="V109" s="181"/>
      <c r="W109" s="182"/>
      <c r="X109" s="6"/>
    </row>
    <row r="110" spans="1:24" ht="13.5">
      <c r="A110" s="278" t="s">
        <v>195</v>
      </c>
      <c r="B110" s="295" t="s">
        <v>22</v>
      </c>
      <c r="C110" s="247" t="s">
        <v>23</v>
      </c>
      <c r="D110" s="247" t="s">
        <v>24</v>
      </c>
      <c r="E110" s="247" t="s">
        <v>25</v>
      </c>
      <c r="F110" s="247" t="s">
        <v>26</v>
      </c>
      <c r="G110" s="247" t="s">
        <v>27</v>
      </c>
      <c r="H110" s="81" t="s">
        <v>28</v>
      </c>
      <c r="I110" s="43" t="s">
        <v>28</v>
      </c>
      <c r="J110" s="268" t="s">
        <v>29</v>
      </c>
      <c r="K110" s="44" t="s">
        <v>28</v>
      </c>
      <c r="L110" s="247" t="s">
        <v>30</v>
      </c>
      <c r="M110" s="247" t="s">
        <v>31</v>
      </c>
      <c r="N110" s="247" t="s">
        <v>32</v>
      </c>
      <c r="O110" s="270" t="s">
        <v>33</v>
      </c>
      <c r="P110" s="247" t="s">
        <v>34</v>
      </c>
      <c r="Q110" s="247" t="s">
        <v>35</v>
      </c>
      <c r="R110" s="272" t="s">
        <v>36</v>
      </c>
      <c r="S110" s="45" t="s">
        <v>37</v>
      </c>
      <c r="T110" s="197" t="s">
        <v>38</v>
      </c>
      <c r="U110" s="198"/>
      <c r="V110" s="198"/>
      <c r="W110" s="274" t="s">
        <v>295</v>
      </c>
      <c r="X110" s="6"/>
    </row>
    <row r="111" spans="1:24" ht="24.75" thickBot="1">
      <c r="A111" s="279"/>
      <c r="B111" s="296"/>
      <c r="C111" s="248"/>
      <c r="D111" s="248"/>
      <c r="E111" s="248"/>
      <c r="F111" s="248"/>
      <c r="G111" s="248"/>
      <c r="H111" s="46" t="s">
        <v>39</v>
      </c>
      <c r="I111" s="47" t="s">
        <v>39</v>
      </c>
      <c r="J111" s="276"/>
      <c r="K111" s="48" t="s">
        <v>41</v>
      </c>
      <c r="L111" s="248"/>
      <c r="M111" s="248"/>
      <c r="N111" s="248"/>
      <c r="O111" s="271"/>
      <c r="P111" s="248"/>
      <c r="Q111" s="248"/>
      <c r="R111" s="273"/>
      <c r="S111" s="49" t="s">
        <v>42</v>
      </c>
      <c r="T111" s="121">
        <v>2009</v>
      </c>
      <c r="U111" s="197" t="s">
        <v>43</v>
      </c>
      <c r="V111" s="197" t="s">
        <v>43</v>
      </c>
      <c r="W111" s="275"/>
      <c r="X111" s="6"/>
    </row>
    <row r="112" spans="1:24" ht="14.25" thickBot="1">
      <c r="A112" s="87"/>
      <c r="B112" s="297">
        <v>62</v>
      </c>
      <c r="C112" s="103">
        <v>6</v>
      </c>
      <c r="D112" s="103" t="s">
        <v>290</v>
      </c>
      <c r="E112" s="103" t="s">
        <v>291</v>
      </c>
      <c r="F112" s="103">
        <v>3</v>
      </c>
      <c r="G112" s="103">
        <v>1250</v>
      </c>
      <c r="H112" s="234">
        <v>52</v>
      </c>
      <c r="I112" s="104">
        <v>52</v>
      </c>
      <c r="J112" s="233">
        <v>2.32</v>
      </c>
      <c r="K112" s="103">
        <v>58</v>
      </c>
      <c r="L112" s="103">
        <v>55</v>
      </c>
      <c r="M112" s="103">
        <v>40</v>
      </c>
      <c r="N112" s="103">
        <v>40</v>
      </c>
      <c r="O112" s="105">
        <v>40</v>
      </c>
      <c r="P112" s="250">
        <v>95</v>
      </c>
      <c r="Q112" s="103" t="s">
        <v>289</v>
      </c>
      <c r="R112" s="171">
        <v>10015</v>
      </c>
      <c r="S112" s="106">
        <v>36192</v>
      </c>
      <c r="T112" s="208">
        <v>12748</v>
      </c>
      <c r="U112" s="209">
        <v>36192</v>
      </c>
      <c r="V112" s="210">
        <v>12748</v>
      </c>
      <c r="W112" s="356">
        <v>12748.09</v>
      </c>
      <c r="X112" s="6"/>
    </row>
    <row r="113" spans="1:24" ht="14.25" thickBot="1">
      <c r="A113" s="87">
        <f>A112+1</f>
        <v>1</v>
      </c>
      <c r="B113" s="297">
        <v>17</v>
      </c>
      <c r="C113" s="113">
        <v>6</v>
      </c>
      <c r="D113" s="101" t="s">
        <v>290</v>
      </c>
      <c r="E113" s="101" t="s">
        <v>218</v>
      </c>
      <c r="F113" s="113">
        <v>1</v>
      </c>
      <c r="G113" s="114">
        <v>750</v>
      </c>
      <c r="H113" s="355">
        <v>47</v>
      </c>
      <c r="I113" s="357">
        <v>47</v>
      </c>
      <c r="J113" s="358">
        <f>$J$4</f>
        <v>2.32</v>
      </c>
      <c r="K113" s="359">
        <v>49</v>
      </c>
      <c r="L113" s="60">
        <v>53</v>
      </c>
      <c r="M113" s="60">
        <v>35</v>
      </c>
      <c r="N113" s="60">
        <v>40</v>
      </c>
      <c r="O113" s="62">
        <f>(M113+N113)/2</f>
        <v>37.5</v>
      </c>
      <c r="P113" s="243">
        <f>O113+L113</f>
        <v>90.5</v>
      </c>
      <c r="Q113" s="60" t="s">
        <v>289</v>
      </c>
      <c r="R113" s="167">
        <f>4000000/239.64</f>
        <v>16691.70422300117</v>
      </c>
      <c r="S113" s="63">
        <f>F113*G113*I113*J113/10</f>
        <v>8178</v>
      </c>
      <c r="T113" s="200">
        <v>30700</v>
      </c>
      <c r="U113" s="200">
        <f>IF(S113&gt;R113,S113,R113)</f>
        <v>16691.70422300117</v>
      </c>
      <c r="V113" s="200">
        <f>IF(U113&gt;T113,T113,U113)</f>
        <v>16691.70422300117</v>
      </c>
      <c r="W113" s="201">
        <f aca="true" t="shared" si="19" ref="W113:W149">V113</f>
        <v>16691.70422300117</v>
      </c>
      <c r="X113" s="6"/>
    </row>
    <row r="114" spans="1:24" ht="36.75" thickBot="1">
      <c r="A114" s="87"/>
      <c r="B114" s="297">
        <v>25</v>
      </c>
      <c r="C114" s="103">
        <v>6</v>
      </c>
      <c r="D114" s="101" t="s">
        <v>62</v>
      </c>
      <c r="E114" s="101" t="s">
        <v>199</v>
      </c>
      <c r="F114" s="113">
        <v>2</v>
      </c>
      <c r="G114" s="114">
        <v>500</v>
      </c>
      <c r="H114" s="355">
        <v>30</v>
      </c>
      <c r="I114" s="114"/>
      <c r="J114" s="239">
        <f>$J$4</f>
        <v>2.32</v>
      </c>
      <c r="K114" s="355">
        <v>30</v>
      </c>
      <c r="L114" s="60">
        <v>60</v>
      </c>
      <c r="M114" s="60">
        <v>40</v>
      </c>
      <c r="N114" s="60">
        <v>40</v>
      </c>
      <c r="O114" s="62">
        <v>40</v>
      </c>
      <c r="P114" s="243">
        <v>100</v>
      </c>
      <c r="Q114" s="60" t="s">
        <v>287</v>
      </c>
      <c r="R114" s="167">
        <f>2754000/239.64</f>
        <v>11492.238357536306</v>
      </c>
      <c r="S114" s="63"/>
      <c r="T114" s="200">
        <v>37400</v>
      </c>
      <c r="U114" s="200"/>
      <c r="V114" s="200"/>
      <c r="W114" s="201">
        <v>11492.24</v>
      </c>
      <c r="X114" s="6"/>
    </row>
    <row r="115" spans="1:24" ht="24.75" thickBot="1">
      <c r="A115" s="87">
        <v>92</v>
      </c>
      <c r="B115" s="297">
        <v>22</v>
      </c>
      <c r="C115" s="113">
        <v>6</v>
      </c>
      <c r="D115" s="101" t="s">
        <v>196</v>
      </c>
      <c r="E115" s="101" t="s">
        <v>197</v>
      </c>
      <c r="F115" s="113">
        <v>8</v>
      </c>
      <c r="G115" s="113">
        <v>1400</v>
      </c>
      <c r="H115" s="360">
        <v>116</v>
      </c>
      <c r="I115" s="114">
        <v>116</v>
      </c>
      <c r="J115" s="361">
        <f>$J$4</f>
        <v>2.32</v>
      </c>
      <c r="K115" s="362">
        <v>140</v>
      </c>
      <c r="L115" s="60">
        <v>60</v>
      </c>
      <c r="M115" s="60">
        <v>40</v>
      </c>
      <c r="N115" s="60">
        <v>40</v>
      </c>
      <c r="O115" s="62">
        <f aca="true" t="shared" si="20" ref="O115:O150">(M115+N115)/2</f>
        <v>40</v>
      </c>
      <c r="P115" s="62">
        <f aca="true" t="shared" si="21" ref="P115:P150">O115+L115</f>
        <v>100</v>
      </c>
      <c r="Q115" s="363" t="s">
        <v>144</v>
      </c>
      <c r="R115" s="167">
        <f>4000000/239.64</f>
        <v>16691.70422300117</v>
      </c>
      <c r="S115" s="63">
        <f>F115*1000*I115*J115/10</f>
        <v>215296</v>
      </c>
      <c r="T115" s="200">
        <v>20600</v>
      </c>
      <c r="U115" s="200">
        <f aca="true" t="shared" si="22" ref="U115:U150">IF(S115&gt;R115,S115,R115)</f>
        <v>215296</v>
      </c>
      <c r="V115" s="200">
        <f aca="true" t="shared" si="23" ref="V115:V150">IF(U115&gt;T115,T115,U115)</f>
        <v>20600</v>
      </c>
      <c r="W115" s="201">
        <f t="shared" si="19"/>
        <v>20600</v>
      </c>
      <c r="X115" s="6"/>
    </row>
    <row r="116" spans="1:24" ht="48.75" thickBot="1">
      <c r="A116" s="87">
        <f aca="true" t="shared" si="24" ref="A116:A151">A115+1</f>
        <v>93</v>
      </c>
      <c r="B116" s="297">
        <v>59</v>
      </c>
      <c r="C116" s="113">
        <v>6</v>
      </c>
      <c r="D116" s="101" t="s">
        <v>49</v>
      </c>
      <c r="E116" s="101" t="s">
        <v>198</v>
      </c>
      <c r="F116" s="113">
        <v>2</v>
      </c>
      <c r="G116" s="113">
        <v>700</v>
      </c>
      <c r="H116" s="114">
        <v>90</v>
      </c>
      <c r="I116" s="115">
        <v>90</v>
      </c>
      <c r="J116" s="116">
        <f>$J$4</f>
        <v>2.32</v>
      </c>
      <c r="K116" s="113">
        <v>102</v>
      </c>
      <c r="L116" s="60">
        <v>60</v>
      </c>
      <c r="M116" s="60">
        <v>40</v>
      </c>
      <c r="N116" s="60">
        <v>40</v>
      </c>
      <c r="O116" s="62">
        <f t="shared" si="20"/>
        <v>40</v>
      </c>
      <c r="P116" s="364">
        <f t="shared" si="21"/>
        <v>100</v>
      </c>
      <c r="Q116" s="365" t="s">
        <v>144</v>
      </c>
      <c r="R116" s="167">
        <v>16830.78</v>
      </c>
      <c r="S116" s="63">
        <f>F116*G116*I116*J116/10</f>
        <v>29232</v>
      </c>
      <c r="T116" s="200">
        <v>32000</v>
      </c>
      <c r="U116" s="200">
        <f t="shared" si="22"/>
        <v>29232</v>
      </c>
      <c r="V116" s="200">
        <f t="shared" si="23"/>
        <v>29232</v>
      </c>
      <c r="W116" s="201">
        <f t="shared" si="19"/>
        <v>29232</v>
      </c>
      <c r="X116" s="6"/>
    </row>
    <row r="117" spans="1:24" ht="24.75" thickBot="1">
      <c r="A117" s="87" t="e">
        <f>#REF!+1</f>
        <v>#REF!</v>
      </c>
      <c r="B117" s="297">
        <v>57</v>
      </c>
      <c r="C117" s="113">
        <v>6</v>
      </c>
      <c r="D117" s="101" t="s">
        <v>49</v>
      </c>
      <c r="E117" s="101" t="s">
        <v>200</v>
      </c>
      <c r="F117" s="113">
        <v>2</v>
      </c>
      <c r="G117" s="113">
        <v>700</v>
      </c>
      <c r="H117" s="114">
        <v>65</v>
      </c>
      <c r="I117" s="115">
        <v>65</v>
      </c>
      <c r="J117" s="116">
        <f>$J$4</f>
        <v>2.32</v>
      </c>
      <c r="K117" s="113">
        <v>75</v>
      </c>
      <c r="L117" s="60">
        <v>60</v>
      </c>
      <c r="M117" s="60">
        <v>40</v>
      </c>
      <c r="N117" s="60">
        <v>40</v>
      </c>
      <c r="O117" s="62">
        <f t="shared" si="20"/>
        <v>40</v>
      </c>
      <c r="P117" s="62">
        <f t="shared" si="21"/>
        <v>100</v>
      </c>
      <c r="Q117" s="60" t="s">
        <v>144</v>
      </c>
      <c r="R117" s="167">
        <v>15206</v>
      </c>
      <c r="S117" s="63">
        <f>F117*G117*I117*J117/10</f>
        <v>21112</v>
      </c>
      <c r="T117" s="200">
        <v>20900</v>
      </c>
      <c r="U117" s="200">
        <f t="shared" si="22"/>
        <v>21112</v>
      </c>
      <c r="V117" s="200">
        <f t="shared" si="23"/>
        <v>20900</v>
      </c>
      <c r="W117" s="201">
        <f t="shared" si="19"/>
        <v>20900</v>
      </c>
      <c r="X117" s="6"/>
    </row>
    <row r="118" spans="1:24" ht="14.25" thickBot="1">
      <c r="A118" s="87" t="e">
        <f>A117+1</f>
        <v>#REF!</v>
      </c>
      <c r="B118" s="297">
        <v>26</v>
      </c>
      <c r="C118" s="113">
        <v>6</v>
      </c>
      <c r="D118" s="101" t="s">
        <v>201</v>
      </c>
      <c r="E118" s="101" t="s">
        <v>202</v>
      </c>
      <c r="F118" s="113">
        <v>2</v>
      </c>
      <c r="G118" s="113">
        <v>800</v>
      </c>
      <c r="H118" s="114">
        <v>44</v>
      </c>
      <c r="I118" s="115">
        <v>44</v>
      </c>
      <c r="J118" s="116">
        <f>$J$4</f>
        <v>2.32</v>
      </c>
      <c r="K118" s="113">
        <v>50</v>
      </c>
      <c r="L118" s="60">
        <v>60</v>
      </c>
      <c r="M118" s="60">
        <v>39</v>
      </c>
      <c r="N118" s="60">
        <v>40</v>
      </c>
      <c r="O118" s="62">
        <f t="shared" si="20"/>
        <v>39.5</v>
      </c>
      <c r="P118" s="62">
        <f t="shared" si="21"/>
        <v>99.5</v>
      </c>
      <c r="Q118" s="60" t="s">
        <v>144</v>
      </c>
      <c r="R118" s="167">
        <f>3058871/239.64</f>
        <v>12764.442497078953</v>
      </c>
      <c r="S118" s="63">
        <f>F118*G118*I118*J118/10</f>
        <v>16332.8</v>
      </c>
      <c r="T118" s="200">
        <v>25902.96</v>
      </c>
      <c r="U118" s="200">
        <f t="shared" si="22"/>
        <v>16332.8</v>
      </c>
      <c r="V118" s="200">
        <f t="shared" si="23"/>
        <v>16332.8</v>
      </c>
      <c r="W118" s="201">
        <f t="shared" si="19"/>
        <v>16332.8</v>
      </c>
      <c r="X118" s="6"/>
    </row>
    <row r="119" spans="1:24" ht="14.25" thickBot="1">
      <c r="A119" s="87" t="e">
        <f t="shared" si="24"/>
        <v>#REF!</v>
      </c>
      <c r="B119" s="297">
        <v>41</v>
      </c>
      <c r="C119" s="113">
        <v>6</v>
      </c>
      <c r="D119" s="101" t="s">
        <v>203</v>
      </c>
      <c r="E119" s="101" t="s">
        <v>204</v>
      </c>
      <c r="F119" s="113">
        <v>4</v>
      </c>
      <c r="G119" s="113">
        <v>600</v>
      </c>
      <c r="H119" s="114">
        <v>40</v>
      </c>
      <c r="I119" s="115">
        <v>40</v>
      </c>
      <c r="J119" s="116">
        <f>$J$4</f>
        <v>2.32</v>
      </c>
      <c r="K119" s="113">
        <v>45</v>
      </c>
      <c r="L119" s="60">
        <v>60</v>
      </c>
      <c r="M119" s="60">
        <v>38</v>
      </c>
      <c r="N119" s="60">
        <v>40</v>
      </c>
      <c r="O119" s="62">
        <f t="shared" si="20"/>
        <v>39</v>
      </c>
      <c r="P119" s="62">
        <f t="shared" si="21"/>
        <v>99</v>
      </c>
      <c r="Q119" s="60" t="s">
        <v>144</v>
      </c>
      <c r="R119" s="167">
        <f>2500000/239.64</f>
        <v>10432.31513937573</v>
      </c>
      <c r="S119" s="63">
        <f>F119*G119*I119*J119/10</f>
        <v>22271.999999999996</v>
      </c>
      <c r="T119" s="200">
        <v>12000</v>
      </c>
      <c r="U119" s="200">
        <f t="shared" si="22"/>
        <v>22271.999999999996</v>
      </c>
      <c r="V119" s="200">
        <f t="shared" si="23"/>
        <v>12000</v>
      </c>
      <c r="W119" s="201">
        <f t="shared" si="19"/>
        <v>12000</v>
      </c>
      <c r="X119" s="6"/>
    </row>
    <row r="120" spans="1:24" ht="24.75" thickBot="1">
      <c r="A120" s="87" t="e">
        <f t="shared" si="24"/>
        <v>#REF!</v>
      </c>
      <c r="B120" s="297">
        <v>96</v>
      </c>
      <c r="C120" s="113">
        <v>6</v>
      </c>
      <c r="D120" s="101" t="s">
        <v>205</v>
      </c>
      <c r="E120" s="101" t="s">
        <v>206</v>
      </c>
      <c r="F120" s="113">
        <v>3</v>
      </c>
      <c r="G120" s="113">
        <v>600</v>
      </c>
      <c r="H120" s="114">
        <v>52</v>
      </c>
      <c r="I120" s="115">
        <v>52</v>
      </c>
      <c r="J120" s="116">
        <f>$J$4</f>
        <v>2.32</v>
      </c>
      <c r="K120" s="113">
        <v>55</v>
      </c>
      <c r="L120" s="60">
        <v>60</v>
      </c>
      <c r="M120" s="60">
        <v>39</v>
      </c>
      <c r="N120" s="60">
        <v>39</v>
      </c>
      <c r="O120" s="62">
        <f t="shared" si="20"/>
        <v>39</v>
      </c>
      <c r="P120" s="62">
        <f t="shared" si="21"/>
        <v>99</v>
      </c>
      <c r="Q120" s="60" t="s">
        <v>144</v>
      </c>
      <c r="R120" s="167">
        <f>7082175/239.64</f>
        <v>29553.392588883326</v>
      </c>
      <c r="S120" s="63">
        <f>F120*G120*I120*J120/10</f>
        <v>21715.199999999997</v>
      </c>
      <c r="T120" s="200">
        <v>41500</v>
      </c>
      <c r="U120" s="200">
        <f t="shared" si="22"/>
        <v>29553.392588883326</v>
      </c>
      <c r="V120" s="200">
        <f t="shared" si="23"/>
        <v>29553.392588883326</v>
      </c>
      <c r="W120" s="201">
        <f t="shared" si="19"/>
        <v>29553.392588883326</v>
      </c>
      <c r="X120" s="6"/>
    </row>
    <row r="121" spans="1:24" ht="14.25" thickBot="1">
      <c r="A121" s="87" t="e">
        <f t="shared" si="24"/>
        <v>#REF!</v>
      </c>
      <c r="B121" s="366">
        <v>100</v>
      </c>
      <c r="C121" s="113">
        <v>6</v>
      </c>
      <c r="D121" s="101" t="s">
        <v>207</v>
      </c>
      <c r="E121" s="101" t="s">
        <v>208</v>
      </c>
      <c r="F121" s="113">
        <v>6</v>
      </c>
      <c r="G121" s="113">
        <v>1300</v>
      </c>
      <c r="H121" s="114">
        <v>50</v>
      </c>
      <c r="I121" s="115">
        <v>50</v>
      </c>
      <c r="J121" s="116">
        <f>$J$4</f>
        <v>2.32</v>
      </c>
      <c r="K121" s="113">
        <v>55</v>
      </c>
      <c r="L121" s="60">
        <v>60</v>
      </c>
      <c r="M121" s="60">
        <v>37</v>
      </c>
      <c r="N121" s="60">
        <v>39</v>
      </c>
      <c r="O121" s="62">
        <f t="shared" si="20"/>
        <v>38</v>
      </c>
      <c r="P121" s="62">
        <f t="shared" si="21"/>
        <v>98</v>
      </c>
      <c r="Q121" s="60" t="s">
        <v>144</v>
      </c>
      <c r="R121" s="167">
        <f>900000/239.64</f>
        <v>3755.633450175263</v>
      </c>
      <c r="S121" s="63">
        <f>F121*1000*I121*J121/10</f>
        <v>69600</v>
      </c>
      <c r="T121" s="200">
        <v>7300</v>
      </c>
      <c r="U121" s="200">
        <f t="shared" si="22"/>
        <v>69600</v>
      </c>
      <c r="V121" s="200">
        <f t="shared" si="23"/>
        <v>7300</v>
      </c>
      <c r="W121" s="201">
        <f t="shared" si="19"/>
        <v>7300</v>
      </c>
      <c r="X121" s="6"/>
    </row>
    <row r="122" spans="1:24" ht="14.25" thickBot="1">
      <c r="A122" s="87" t="e">
        <f>#REF!+1</f>
        <v>#REF!</v>
      </c>
      <c r="B122" s="367"/>
      <c r="C122" s="113">
        <v>6</v>
      </c>
      <c r="D122" s="101" t="s">
        <v>187</v>
      </c>
      <c r="E122" s="101" t="s">
        <v>209</v>
      </c>
      <c r="F122" s="113">
        <v>4</v>
      </c>
      <c r="G122" s="113">
        <v>500</v>
      </c>
      <c r="H122" s="114">
        <v>52</v>
      </c>
      <c r="I122" s="115">
        <v>52</v>
      </c>
      <c r="J122" s="116">
        <f>$J$4</f>
        <v>2.32</v>
      </c>
      <c r="K122" s="113">
        <v>52</v>
      </c>
      <c r="L122" s="60">
        <v>55</v>
      </c>
      <c r="M122" s="60">
        <v>39</v>
      </c>
      <c r="N122" s="60">
        <v>40</v>
      </c>
      <c r="O122" s="62">
        <f t="shared" si="20"/>
        <v>39.5</v>
      </c>
      <c r="P122" s="62">
        <f t="shared" si="21"/>
        <v>94.5</v>
      </c>
      <c r="Q122" s="60" t="s">
        <v>144</v>
      </c>
      <c r="R122" s="167">
        <f>3900000/239.64</f>
        <v>16274.41161742614</v>
      </c>
      <c r="S122" s="63">
        <f aca="true" t="shared" si="25" ref="S122:S142">F122*G122*I122*J122/10</f>
        <v>24127.999999999996</v>
      </c>
      <c r="T122" s="200">
        <v>24012</v>
      </c>
      <c r="U122" s="200">
        <f t="shared" si="22"/>
        <v>24127.999999999996</v>
      </c>
      <c r="V122" s="200">
        <f t="shared" si="23"/>
        <v>24012</v>
      </c>
      <c r="W122" s="201">
        <f t="shared" si="19"/>
        <v>24012</v>
      </c>
      <c r="X122" s="6"/>
    </row>
    <row r="123" spans="1:24" ht="14.25" thickBot="1">
      <c r="A123" s="87" t="e">
        <f t="shared" si="24"/>
        <v>#REF!</v>
      </c>
      <c r="B123" s="297">
        <v>99</v>
      </c>
      <c r="C123" s="113">
        <v>6</v>
      </c>
      <c r="D123" s="101" t="s">
        <v>196</v>
      </c>
      <c r="E123" s="101" t="s">
        <v>210</v>
      </c>
      <c r="F123" s="113">
        <v>3</v>
      </c>
      <c r="G123" s="113">
        <v>800</v>
      </c>
      <c r="H123" s="114">
        <v>92</v>
      </c>
      <c r="I123" s="115">
        <v>92</v>
      </c>
      <c r="J123" s="116">
        <f>$J$4</f>
        <v>2.32</v>
      </c>
      <c r="K123" s="113">
        <v>100</v>
      </c>
      <c r="L123" s="60">
        <v>55</v>
      </c>
      <c r="M123" s="60">
        <v>38</v>
      </c>
      <c r="N123" s="60">
        <v>40</v>
      </c>
      <c r="O123" s="62">
        <f t="shared" si="20"/>
        <v>39</v>
      </c>
      <c r="P123" s="62">
        <f t="shared" si="21"/>
        <v>94</v>
      </c>
      <c r="Q123" s="60" t="s">
        <v>144</v>
      </c>
      <c r="R123" s="167">
        <f>3500000/239.64</f>
        <v>14605.241195126024</v>
      </c>
      <c r="S123" s="63">
        <f t="shared" si="25"/>
        <v>51225.59999999999</v>
      </c>
      <c r="T123" s="200">
        <v>27500</v>
      </c>
      <c r="U123" s="200">
        <f t="shared" si="22"/>
        <v>51225.59999999999</v>
      </c>
      <c r="V123" s="200">
        <f t="shared" si="23"/>
        <v>27500</v>
      </c>
      <c r="W123" s="201">
        <f t="shared" si="19"/>
        <v>27500</v>
      </c>
      <c r="X123" s="6"/>
    </row>
    <row r="124" spans="1:24" ht="24.75" thickBot="1">
      <c r="A124" s="87" t="e">
        <f t="shared" si="24"/>
        <v>#REF!</v>
      </c>
      <c r="B124" s="297">
        <v>71</v>
      </c>
      <c r="C124" s="113">
        <v>6</v>
      </c>
      <c r="D124" s="101" t="s">
        <v>211</v>
      </c>
      <c r="E124" s="101" t="s">
        <v>212</v>
      </c>
      <c r="F124" s="113">
        <v>3</v>
      </c>
      <c r="G124" s="113">
        <v>300</v>
      </c>
      <c r="H124" s="114">
        <v>33</v>
      </c>
      <c r="I124" s="115">
        <v>33</v>
      </c>
      <c r="J124" s="116">
        <f>$J$4</f>
        <v>2.32</v>
      </c>
      <c r="K124" s="113">
        <v>37</v>
      </c>
      <c r="L124" s="60">
        <v>55</v>
      </c>
      <c r="M124" s="60">
        <v>40</v>
      </c>
      <c r="N124" s="60">
        <v>37</v>
      </c>
      <c r="O124" s="62">
        <f t="shared" si="20"/>
        <v>38.5</v>
      </c>
      <c r="P124" s="62">
        <f t="shared" si="21"/>
        <v>93.5</v>
      </c>
      <c r="Q124" s="60" t="s">
        <v>144</v>
      </c>
      <c r="R124" s="167">
        <f>767000/239.64</f>
        <v>3200.634284760474</v>
      </c>
      <c r="S124" s="63">
        <f t="shared" si="25"/>
        <v>6890.4</v>
      </c>
      <c r="T124" s="200">
        <v>9000</v>
      </c>
      <c r="U124" s="200">
        <f t="shared" si="22"/>
        <v>6890.4</v>
      </c>
      <c r="V124" s="200">
        <f t="shared" si="23"/>
        <v>6890.4</v>
      </c>
      <c r="W124" s="201">
        <f t="shared" si="19"/>
        <v>6890.4</v>
      </c>
      <c r="X124" s="6"/>
    </row>
    <row r="125" spans="1:24" ht="24.75" thickBot="1">
      <c r="A125" s="87" t="e">
        <f t="shared" si="24"/>
        <v>#REF!</v>
      </c>
      <c r="B125" s="297">
        <v>127</v>
      </c>
      <c r="C125" s="113">
        <v>6</v>
      </c>
      <c r="D125" s="101" t="s">
        <v>62</v>
      </c>
      <c r="E125" s="101" t="s">
        <v>213</v>
      </c>
      <c r="F125" s="113">
        <v>2</v>
      </c>
      <c r="G125" s="113">
        <v>400</v>
      </c>
      <c r="H125" s="114">
        <v>32</v>
      </c>
      <c r="I125" s="115">
        <v>32</v>
      </c>
      <c r="J125" s="116">
        <f>$J$4</f>
        <v>2.32</v>
      </c>
      <c r="K125" s="113">
        <v>34</v>
      </c>
      <c r="L125" s="60">
        <v>55</v>
      </c>
      <c r="M125" s="60">
        <v>36</v>
      </c>
      <c r="N125" s="60">
        <v>40</v>
      </c>
      <c r="O125" s="62">
        <f t="shared" si="20"/>
        <v>38</v>
      </c>
      <c r="P125" s="62">
        <f t="shared" si="21"/>
        <v>93</v>
      </c>
      <c r="Q125" s="60" t="s">
        <v>144</v>
      </c>
      <c r="R125" s="167">
        <v>4624</v>
      </c>
      <c r="S125" s="63">
        <f t="shared" si="25"/>
        <v>5939.199999999999</v>
      </c>
      <c r="T125" s="200">
        <v>14091.13</v>
      </c>
      <c r="U125" s="200">
        <f t="shared" si="22"/>
        <v>5939.199999999999</v>
      </c>
      <c r="V125" s="200">
        <f t="shared" si="23"/>
        <v>5939.199999999999</v>
      </c>
      <c r="W125" s="201">
        <f t="shared" si="19"/>
        <v>5939.199999999999</v>
      </c>
      <c r="X125" s="6"/>
    </row>
    <row r="126" spans="1:24" ht="14.25" thickBot="1">
      <c r="A126" s="87" t="e">
        <f t="shared" si="24"/>
        <v>#REF!</v>
      </c>
      <c r="B126" s="297">
        <v>30</v>
      </c>
      <c r="C126" s="113">
        <v>6</v>
      </c>
      <c r="D126" s="101" t="s">
        <v>214</v>
      </c>
      <c r="E126" s="101" t="s">
        <v>215</v>
      </c>
      <c r="F126" s="113">
        <v>2</v>
      </c>
      <c r="G126" s="113">
        <v>400</v>
      </c>
      <c r="H126" s="114">
        <v>21</v>
      </c>
      <c r="I126" s="115">
        <v>21</v>
      </c>
      <c r="J126" s="116">
        <f>$J$4</f>
        <v>2.32</v>
      </c>
      <c r="K126" s="113">
        <v>26</v>
      </c>
      <c r="L126" s="60">
        <v>55</v>
      </c>
      <c r="M126" s="60">
        <v>38</v>
      </c>
      <c r="N126" s="60">
        <v>36</v>
      </c>
      <c r="O126" s="62">
        <f t="shared" si="20"/>
        <v>37</v>
      </c>
      <c r="P126" s="62">
        <f t="shared" si="21"/>
        <v>92</v>
      </c>
      <c r="Q126" s="60" t="s">
        <v>144</v>
      </c>
      <c r="R126" s="167">
        <v>3558</v>
      </c>
      <c r="S126" s="63">
        <f t="shared" si="25"/>
        <v>3897.6</v>
      </c>
      <c r="T126" s="200">
        <v>8000</v>
      </c>
      <c r="U126" s="200">
        <f t="shared" si="22"/>
        <v>3897.6</v>
      </c>
      <c r="V126" s="200">
        <f t="shared" si="23"/>
        <v>3897.6</v>
      </c>
      <c r="W126" s="201">
        <f t="shared" si="19"/>
        <v>3897.6</v>
      </c>
      <c r="X126" s="6"/>
    </row>
    <row r="127" spans="1:24" ht="24.75" thickBot="1">
      <c r="A127" s="87" t="e">
        <f t="shared" si="24"/>
        <v>#REF!</v>
      </c>
      <c r="B127" s="297">
        <v>63</v>
      </c>
      <c r="C127" s="113">
        <v>6</v>
      </c>
      <c r="D127" s="101" t="s">
        <v>62</v>
      </c>
      <c r="E127" s="101" t="s">
        <v>216</v>
      </c>
      <c r="F127" s="113">
        <v>2</v>
      </c>
      <c r="G127" s="113">
        <v>300</v>
      </c>
      <c r="H127" s="114">
        <v>18</v>
      </c>
      <c r="I127" s="115">
        <v>18</v>
      </c>
      <c r="J127" s="116">
        <f>$J$4</f>
        <v>2.32</v>
      </c>
      <c r="K127" s="113">
        <v>20</v>
      </c>
      <c r="L127" s="60">
        <v>55</v>
      </c>
      <c r="M127" s="60">
        <v>36</v>
      </c>
      <c r="N127" s="60">
        <v>37</v>
      </c>
      <c r="O127" s="62">
        <f t="shared" si="20"/>
        <v>36.5</v>
      </c>
      <c r="P127" s="62">
        <f t="shared" si="21"/>
        <v>91.5</v>
      </c>
      <c r="Q127" s="60" t="s">
        <v>144</v>
      </c>
      <c r="R127" s="167">
        <v>2489</v>
      </c>
      <c r="S127" s="63">
        <f t="shared" si="25"/>
        <v>2505.6</v>
      </c>
      <c r="T127" s="200">
        <v>2600</v>
      </c>
      <c r="U127" s="200">
        <f t="shared" si="22"/>
        <v>2505.6</v>
      </c>
      <c r="V127" s="200">
        <f t="shared" si="23"/>
        <v>2505.6</v>
      </c>
      <c r="W127" s="201">
        <f t="shared" si="19"/>
        <v>2505.6</v>
      </c>
      <c r="X127" s="6"/>
    </row>
    <row r="128" spans="1:24" ht="24.75" thickBot="1">
      <c r="A128" s="87" t="e">
        <f t="shared" si="24"/>
        <v>#REF!</v>
      </c>
      <c r="B128" s="297">
        <v>80</v>
      </c>
      <c r="C128" s="113">
        <v>6</v>
      </c>
      <c r="D128" s="101" t="s">
        <v>181</v>
      </c>
      <c r="E128" s="101" t="s">
        <v>217</v>
      </c>
      <c r="F128" s="113">
        <v>1</v>
      </c>
      <c r="G128" s="113">
        <v>750</v>
      </c>
      <c r="H128" s="114">
        <v>35</v>
      </c>
      <c r="I128" s="115">
        <v>35</v>
      </c>
      <c r="J128" s="116">
        <f>$J$4</f>
        <v>2.32</v>
      </c>
      <c r="K128" s="113">
        <v>35</v>
      </c>
      <c r="L128" s="60">
        <v>53</v>
      </c>
      <c r="M128" s="60">
        <v>36</v>
      </c>
      <c r="N128" s="60">
        <v>39</v>
      </c>
      <c r="O128" s="62">
        <f t="shared" si="20"/>
        <v>37.5</v>
      </c>
      <c r="P128" s="62">
        <f t="shared" si="21"/>
        <v>90.5</v>
      </c>
      <c r="Q128" s="60" t="s">
        <v>144</v>
      </c>
      <c r="R128" s="167">
        <f>3278117/239.64</f>
        <v>13679.339843097981</v>
      </c>
      <c r="S128" s="63">
        <f t="shared" si="25"/>
        <v>6089.999999999999</v>
      </c>
      <c r="T128" s="200">
        <v>24642</v>
      </c>
      <c r="U128" s="200">
        <f t="shared" si="22"/>
        <v>13679.339843097981</v>
      </c>
      <c r="V128" s="200">
        <f t="shared" si="23"/>
        <v>13679.339843097981</v>
      </c>
      <c r="W128" s="201">
        <f t="shared" si="19"/>
        <v>13679.339843097981</v>
      </c>
      <c r="X128" s="6"/>
    </row>
    <row r="129" spans="1:24" ht="36.75" thickBot="1">
      <c r="A129" s="87" t="e">
        <f>#REF!+1</f>
        <v>#REF!</v>
      </c>
      <c r="B129" s="297">
        <v>21</v>
      </c>
      <c r="C129" s="113">
        <v>6</v>
      </c>
      <c r="D129" s="101" t="s">
        <v>219</v>
      </c>
      <c r="E129" s="101" t="s">
        <v>220</v>
      </c>
      <c r="F129" s="113">
        <v>2</v>
      </c>
      <c r="G129" s="113">
        <v>1000</v>
      </c>
      <c r="H129" s="114">
        <v>26</v>
      </c>
      <c r="I129" s="115">
        <v>26</v>
      </c>
      <c r="J129" s="116">
        <f>$J$4</f>
        <v>2.32</v>
      </c>
      <c r="K129" s="113">
        <v>40</v>
      </c>
      <c r="L129" s="60">
        <v>55</v>
      </c>
      <c r="M129" s="60">
        <v>36</v>
      </c>
      <c r="N129" s="60">
        <v>35</v>
      </c>
      <c r="O129" s="62">
        <f t="shared" si="20"/>
        <v>35.5</v>
      </c>
      <c r="P129" s="62">
        <f t="shared" si="21"/>
        <v>90.5</v>
      </c>
      <c r="Q129" s="60" t="s">
        <v>144</v>
      </c>
      <c r="R129" s="167">
        <v>4598</v>
      </c>
      <c r="S129" s="63">
        <f t="shared" si="25"/>
        <v>12063.999999999998</v>
      </c>
      <c r="T129" s="200">
        <v>7700</v>
      </c>
      <c r="U129" s="200">
        <f t="shared" si="22"/>
        <v>12063.999999999998</v>
      </c>
      <c r="V129" s="200">
        <f t="shared" si="23"/>
        <v>7700</v>
      </c>
      <c r="W129" s="201">
        <f t="shared" si="19"/>
        <v>7700</v>
      </c>
      <c r="X129" s="6"/>
    </row>
    <row r="130" spans="1:24" ht="14.25" thickBot="1">
      <c r="A130" s="87" t="e">
        <f t="shared" si="24"/>
        <v>#REF!</v>
      </c>
      <c r="B130" s="297">
        <v>83</v>
      </c>
      <c r="C130" s="113">
        <v>6</v>
      </c>
      <c r="D130" s="101" t="s">
        <v>181</v>
      </c>
      <c r="E130" s="101" t="s">
        <v>221</v>
      </c>
      <c r="F130" s="113">
        <v>2</v>
      </c>
      <c r="G130" s="113">
        <v>500</v>
      </c>
      <c r="H130" s="114">
        <v>40</v>
      </c>
      <c r="I130" s="115">
        <v>40</v>
      </c>
      <c r="J130" s="116">
        <f>$J$4</f>
        <v>2.32</v>
      </c>
      <c r="K130" s="113">
        <v>45</v>
      </c>
      <c r="L130" s="60">
        <v>50</v>
      </c>
      <c r="M130" s="60">
        <v>40</v>
      </c>
      <c r="N130" s="60">
        <v>40</v>
      </c>
      <c r="O130" s="62">
        <f t="shared" si="20"/>
        <v>40</v>
      </c>
      <c r="P130" s="62">
        <f t="shared" si="21"/>
        <v>90</v>
      </c>
      <c r="Q130" s="60" t="s">
        <v>144</v>
      </c>
      <c r="R130" s="167">
        <f>1800000/239.64</f>
        <v>7511.266900350526</v>
      </c>
      <c r="S130" s="63">
        <f t="shared" si="25"/>
        <v>9280</v>
      </c>
      <c r="T130" s="200">
        <v>9000</v>
      </c>
      <c r="U130" s="200">
        <f t="shared" si="22"/>
        <v>9280</v>
      </c>
      <c r="V130" s="200">
        <f t="shared" si="23"/>
        <v>9000</v>
      </c>
      <c r="W130" s="201">
        <f t="shared" si="19"/>
        <v>9000</v>
      </c>
      <c r="X130" s="6"/>
    </row>
    <row r="131" spans="1:24" ht="24.75" thickBot="1">
      <c r="A131" s="87" t="e">
        <f t="shared" si="24"/>
        <v>#REF!</v>
      </c>
      <c r="B131" s="297">
        <v>95</v>
      </c>
      <c r="C131" s="113">
        <v>6</v>
      </c>
      <c r="D131" s="101" t="s">
        <v>62</v>
      </c>
      <c r="E131" s="101" t="s">
        <v>222</v>
      </c>
      <c r="F131" s="113">
        <v>3</v>
      </c>
      <c r="G131" s="113">
        <v>150</v>
      </c>
      <c r="H131" s="114">
        <v>38</v>
      </c>
      <c r="I131" s="115">
        <v>38</v>
      </c>
      <c r="J131" s="116">
        <f>$J$4</f>
        <v>2.32</v>
      </c>
      <c r="K131" s="113">
        <v>45</v>
      </c>
      <c r="L131" s="60">
        <v>50</v>
      </c>
      <c r="M131" s="60">
        <v>39</v>
      </c>
      <c r="N131" s="60">
        <v>40</v>
      </c>
      <c r="O131" s="62">
        <f t="shared" si="20"/>
        <v>39.5</v>
      </c>
      <c r="P131" s="62">
        <f t="shared" si="21"/>
        <v>89.5</v>
      </c>
      <c r="Q131" s="60" t="s">
        <v>144</v>
      </c>
      <c r="R131" s="167">
        <f>2640000/239.64</f>
        <v>11016.524787180771</v>
      </c>
      <c r="S131" s="63">
        <f t="shared" si="25"/>
        <v>3967.2</v>
      </c>
      <c r="T131" s="200">
        <v>13500</v>
      </c>
      <c r="U131" s="200">
        <f t="shared" si="22"/>
        <v>11016.524787180771</v>
      </c>
      <c r="V131" s="200">
        <f t="shared" si="23"/>
        <v>11016.524787180771</v>
      </c>
      <c r="W131" s="201">
        <f t="shared" si="19"/>
        <v>11016.524787180771</v>
      </c>
      <c r="X131" s="6"/>
    </row>
    <row r="132" spans="1:24" ht="14.25" thickBot="1">
      <c r="A132" s="87" t="e">
        <f t="shared" si="24"/>
        <v>#REF!</v>
      </c>
      <c r="B132" s="297">
        <v>81</v>
      </c>
      <c r="C132" s="113">
        <v>6</v>
      </c>
      <c r="D132" s="101" t="s">
        <v>181</v>
      </c>
      <c r="E132" s="101" t="s">
        <v>223</v>
      </c>
      <c r="F132" s="113">
        <v>2</v>
      </c>
      <c r="G132" s="113">
        <v>450</v>
      </c>
      <c r="H132" s="114">
        <v>60</v>
      </c>
      <c r="I132" s="115">
        <v>60</v>
      </c>
      <c r="J132" s="116">
        <f>$J$4</f>
        <v>2.32</v>
      </c>
      <c r="K132" s="113">
        <v>70</v>
      </c>
      <c r="L132" s="60">
        <v>50</v>
      </c>
      <c r="M132" s="60">
        <v>38</v>
      </c>
      <c r="N132" s="60">
        <v>37</v>
      </c>
      <c r="O132" s="62">
        <f t="shared" si="20"/>
        <v>37.5</v>
      </c>
      <c r="P132" s="62">
        <f t="shared" si="21"/>
        <v>87.5</v>
      </c>
      <c r="Q132" s="60" t="s">
        <v>144</v>
      </c>
      <c r="R132" s="167">
        <f>2250720/239.64</f>
        <v>9392.088132198298</v>
      </c>
      <c r="S132" s="63">
        <f t="shared" si="25"/>
        <v>12527.999999999998</v>
      </c>
      <c r="T132" s="200">
        <v>20414</v>
      </c>
      <c r="U132" s="200">
        <f t="shared" si="22"/>
        <v>12527.999999999998</v>
      </c>
      <c r="V132" s="200">
        <f t="shared" si="23"/>
        <v>12527.999999999998</v>
      </c>
      <c r="W132" s="201">
        <f t="shared" si="19"/>
        <v>12527.999999999998</v>
      </c>
      <c r="X132" s="6"/>
    </row>
    <row r="133" spans="1:24" ht="24.75" thickBot="1">
      <c r="A133" s="87" t="e">
        <f t="shared" si="24"/>
        <v>#REF!</v>
      </c>
      <c r="B133" s="297">
        <v>94</v>
      </c>
      <c r="C133" s="113">
        <v>6</v>
      </c>
      <c r="D133" s="101" t="s">
        <v>224</v>
      </c>
      <c r="E133" s="101" t="s">
        <v>225</v>
      </c>
      <c r="F133" s="113">
        <v>1</v>
      </c>
      <c r="G133" s="113">
        <v>450</v>
      </c>
      <c r="H133" s="114">
        <v>22</v>
      </c>
      <c r="I133" s="115">
        <v>22</v>
      </c>
      <c r="J133" s="116">
        <f>$J$4</f>
        <v>2.32</v>
      </c>
      <c r="K133" s="113">
        <v>22</v>
      </c>
      <c r="L133" s="60">
        <v>48</v>
      </c>
      <c r="M133" s="60">
        <v>39</v>
      </c>
      <c r="N133" s="60">
        <v>40</v>
      </c>
      <c r="O133" s="62">
        <f t="shared" si="20"/>
        <v>39.5</v>
      </c>
      <c r="P133" s="62">
        <f t="shared" si="21"/>
        <v>87.5</v>
      </c>
      <c r="Q133" s="60" t="s">
        <v>144</v>
      </c>
      <c r="R133" s="167">
        <v>7500</v>
      </c>
      <c r="S133" s="63">
        <f t="shared" si="25"/>
        <v>2296.8</v>
      </c>
      <c r="T133" s="200">
        <v>7500</v>
      </c>
      <c r="U133" s="200">
        <f t="shared" si="22"/>
        <v>7500</v>
      </c>
      <c r="V133" s="200">
        <f t="shared" si="23"/>
        <v>7500</v>
      </c>
      <c r="W133" s="201">
        <f t="shared" si="19"/>
        <v>7500</v>
      </c>
      <c r="X133" s="6"/>
    </row>
    <row r="134" spans="1:24" ht="14.25" thickBot="1">
      <c r="A134" s="87" t="e">
        <f t="shared" si="24"/>
        <v>#REF!</v>
      </c>
      <c r="B134" s="297">
        <v>66</v>
      </c>
      <c r="C134" s="113">
        <v>6</v>
      </c>
      <c r="D134" s="101" t="s">
        <v>226</v>
      </c>
      <c r="E134" s="101" t="s">
        <v>227</v>
      </c>
      <c r="F134" s="113">
        <v>1</v>
      </c>
      <c r="G134" s="113">
        <v>600</v>
      </c>
      <c r="H134" s="114">
        <v>30</v>
      </c>
      <c r="I134" s="115">
        <v>30</v>
      </c>
      <c r="J134" s="116">
        <f>$J$4</f>
        <v>2.32</v>
      </c>
      <c r="K134" s="113">
        <v>36</v>
      </c>
      <c r="L134" s="60">
        <v>53</v>
      </c>
      <c r="M134" s="60">
        <v>34</v>
      </c>
      <c r="N134" s="60">
        <v>34</v>
      </c>
      <c r="O134" s="62">
        <f t="shared" si="20"/>
        <v>34</v>
      </c>
      <c r="P134" s="62">
        <f t="shared" si="21"/>
        <v>87</v>
      </c>
      <c r="Q134" s="60" t="s">
        <v>144</v>
      </c>
      <c r="R134" s="167">
        <v>7928</v>
      </c>
      <c r="S134" s="63">
        <f t="shared" si="25"/>
        <v>4176</v>
      </c>
      <c r="T134" s="200">
        <v>8300</v>
      </c>
      <c r="U134" s="200">
        <f t="shared" si="22"/>
        <v>7928</v>
      </c>
      <c r="V134" s="200">
        <f t="shared" si="23"/>
        <v>7928</v>
      </c>
      <c r="W134" s="201">
        <f t="shared" si="19"/>
        <v>7928</v>
      </c>
      <c r="X134" s="6"/>
    </row>
    <row r="135" spans="1:24" ht="24.75" thickBot="1">
      <c r="A135" s="87" t="e">
        <f t="shared" si="24"/>
        <v>#REF!</v>
      </c>
      <c r="B135" s="297">
        <v>52</v>
      </c>
      <c r="C135" s="113">
        <v>6</v>
      </c>
      <c r="D135" s="101" t="s">
        <v>62</v>
      </c>
      <c r="E135" s="101" t="s">
        <v>228</v>
      </c>
      <c r="F135" s="113">
        <v>1</v>
      </c>
      <c r="G135" s="113">
        <v>400</v>
      </c>
      <c r="H135" s="114">
        <v>27</v>
      </c>
      <c r="I135" s="115">
        <v>27</v>
      </c>
      <c r="J135" s="116">
        <f>$J$4</f>
        <v>2.32</v>
      </c>
      <c r="K135" s="113">
        <v>27</v>
      </c>
      <c r="L135" s="60">
        <v>48</v>
      </c>
      <c r="M135" s="60">
        <v>37</v>
      </c>
      <c r="N135" s="60">
        <v>39</v>
      </c>
      <c r="O135" s="62">
        <f t="shared" si="20"/>
        <v>38</v>
      </c>
      <c r="P135" s="62">
        <f t="shared" si="21"/>
        <v>86</v>
      </c>
      <c r="Q135" s="60" t="s">
        <v>144</v>
      </c>
      <c r="R135" s="167">
        <f>2500000/239.64</f>
        <v>10432.31513937573</v>
      </c>
      <c r="S135" s="63">
        <f t="shared" si="25"/>
        <v>2505.6</v>
      </c>
      <c r="T135" s="200">
        <v>11500</v>
      </c>
      <c r="U135" s="200">
        <f t="shared" si="22"/>
        <v>10432.31513937573</v>
      </c>
      <c r="V135" s="200">
        <f t="shared" si="23"/>
        <v>10432.31513937573</v>
      </c>
      <c r="W135" s="201">
        <f t="shared" si="19"/>
        <v>10432.31513937573</v>
      </c>
      <c r="X135" s="6"/>
    </row>
    <row r="136" spans="1:24" ht="14.25" thickBot="1">
      <c r="A136" s="87" t="e">
        <f t="shared" si="24"/>
        <v>#REF!</v>
      </c>
      <c r="B136" s="297">
        <v>82</v>
      </c>
      <c r="C136" s="113">
        <v>6</v>
      </c>
      <c r="D136" s="101" t="s">
        <v>181</v>
      </c>
      <c r="E136" s="101" t="s">
        <v>229</v>
      </c>
      <c r="F136" s="113">
        <v>1</v>
      </c>
      <c r="G136" s="113">
        <v>400</v>
      </c>
      <c r="H136" s="114">
        <v>21</v>
      </c>
      <c r="I136" s="115">
        <v>21</v>
      </c>
      <c r="J136" s="116">
        <f>$J$4</f>
        <v>2.32</v>
      </c>
      <c r="K136" s="113">
        <v>22</v>
      </c>
      <c r="L136" s="60">
        <v>48</v>
      </c>
      <c r="M136" s="60">
        <v>35</v>
      </c>
      <c r="N136" s="60">
        <v>40</v>
      </c>
      <c r="O136" s="62">
        <f t="shared" si="20"/>
        <v>37.5</v>
      </c>
      <c r="P136" s="62">
        <f t="shared" si="21"/>
        <v>85.5</v>
      </c>
      <c r="Q136" s="60" t="s">
        <v>144</v>
      </c>
      <c r="R136" s="167">
        <f>1600000/239.64</f>
        <v>6676.681689200468</v>
      </c>
      <c r="S136" s="63">
        <f t="shared" si="25"/>
        <v>1948.8</v>
      </c>
      <c r="T136" s="200">
        <v>6600</v>
      </c>
      <c r="U136" s="200">
        <f t="shared" si="22"/>
        <v>6676.681689200468</v>
      </c>
      <c r="V136" s="200">
        <f t="shared" si="23"/>
        <v>6600</v>
      </c>
      <c r="W136" s="201">
        <f t="shared" si="19"/>
        <v>6600</v>
      </c>
      <c r="X136" s="6"/>
    </row>
    <row r="137" spans="1:24" ht="24.75" thickBot="1">
      <c r="A137" s="87" t="e">
        <f t="shared" si="24"/>
        <v>#REF!</v>
      </c>
      <c r="B137" s="297">
        <v>97</v>
      </c>
      <c r="C137" s="113">
        <v>6</v>
      </c>
      <c r="D137" s="101" t="s">
        <v>62</v>
      </c>
      <c r="E137" s="101" t="s">
        <v>230</v>
      </c>
      <c r="F137" s="113">
        <v>1</v>
      </c>
      <c r="G137" s="113">
        <v>300</v>
      </c>
      <c r="H137" s="114">
        <v>25</v>
      </c>
      <c r="I137" s="115">
        <v>25</v>
      </c>
      <c r="J137" s="116">
        <f>$J$4</f>
        <v>2.32</v>
      </c>
      <c r="K137" s="113">
        <v>25</v>
      </c>
      <c r="L137" s="60">
        <v>48</v>
      </c>
      <c r="M137" s="60">
        <v>38</v>
      </c>
      <c r="N137" s="60">
        <v>37</v>
      </c>
      <c r="O137" s="62">
        <f t="shared" si="20"/>
        <v>37.5</v>
      </c>
      <c r="P137" s="62">
        <f t="shared" si="21"/>
        <v>85.5</v>
      </c>
      <c r="Q137" s="60" t="s">
        <v>144</v>
      </c>
      <c r="R137" s="167">
        <f>782025/239.64</f>
        <v>3263.3324987481224</v>
      </c>
      <c r="S137" s="63">
        <f t="shared" si="25"/>
        <v>1740</v>
      </c>
      <c r="T137" s="200">
        <v>4000</v>
      </c>
      <c r="U137" s="200">
        <f t="shared" si="22"/>
        <v>3263.3324987481224</v>
      </c>
      <c r="V137" s="200">
        <f t="shared" si="23"/>
        <v>3263.3324987481224</v>
      </c>
      <c r="W137" s="201">
        <f t="shared" si="19"/>
        <v>3263.3324987481224</v>
      </c>
      <c r="X137" s="6"/>
    </row>
    <row r="138" spans="1:24" ht="24.75" thickBot="1">
      <c r="A138" s="87" t="e">
        <f t="shared" si="24"/>
        <v>#REF!</v>
      </c>
      <c r="B138" s="297">
        <v>118</v>
      </c>
      <c r="C138" s="113">
        <v>6</v>
      </c>
      <c r="D138" s="101" t="s">
        <v>231</v>
      </c>
      <c r="E138" s="101" t="s">
        <v>232</v>
      </c>
      <c r="F138" s="113">
        <v>4</v>
      </c>
      <c r="G138" s="113">
        <v>500</v>
      </c>
      <c r="H138" s="114">
        <v>12</v>
      </c>
      <c r="I138" s="115">
        <v>12</v>
      </c>
      <c r="J138" s="116">
        <f>$J$4</f>
        <v>2.32</v>
      </c>
      <c r="K138" s="113">
        <v>40</v>
      </c>
      <c r="L138" s="60">
        <v>50</v>
      </c>
      <c r="M138" s="60">
        <v>36</v>
      </c>
      <c r="N138" s="60">
        <v>35</v>
      </c>
      <c r="O138" s="62">
        <f t="shared" si="20"/>
        <v>35.5</v>
      </c>
      <c r="P138" s="62">
        <f t="shared" si="21"/>
        <v>85.5</v>
      </c>
      <c r="Q138" s="60" t="s">
        <v>144</v>
      </c>
      <c r="R138" s="167">
        <v>3677</v>
      </c>
      <c r="S138" s="63">
        <f t="shared" si="25"/>
        <v>5567.999999999999</v>
      </c>
      <c r="T138" s="200">
        <v>5000</v>
      </c>
      <c r="U138" s="200">
        <f t="shared" si="22"/>
        <v>5567.999999999999</v>
      </c>
      <c r="V138" s="200">
        <f t="shared" si="23"/>
        <v>5000</v>
      </c>
      <c r="W138" s="201">
        <f t="shared" si="19"/>
        <v>5000</v>
      </c>
      <c r="X138" s="6"/>
    </row>
    <row r="139" spans="1:24" ht="24.75" thickBot="1">
      <c r="A139" s="280" t="e">
        <f t="shared" si="24"/>
        <v>#REF!</v>
      </c>
      <c r="B139" s="368">
        <v>38</v>
      </c>
      <c r="C139" s="369">
        <v>6</v>
      </c>
      <c r="D139" s="111" t="s">
        <v>233</v>
      </c>
      <c r="E139" s="111" t="s">
        <v>234</v>
      </c>
      <c r="F139" s="369">
        <v>3</v>
      </c>
      <c r="G139" s="369">
        <v>600</v>
      </c>
      <c r="H139" s="370">
        <v>35</v>
      </c>
      <c r="I139" s="371">
        <v>35</v>
      </c>
      <c r="J139" s="372">
        <f>$J$4</f>
        <v>2.32</v>
      </c>
      <c r="K139" s="369">
        <v>50</v>
      </c>
      <c r="L139" s="107">
        <v>45</v>
      </c>
      <c r="M139" s="107">
        <v>37</v>
      </c>
      <c r="N139" s="107">
        <v>39</v>
      </c>
      <c r="O139" s="108">
        <f t="shared" si="20"/>
        <v>38</v>
      </c>
      <c r="P139" s="108">
        <f t="shared" si="21"/>
        <v>83</v>
      </c>
      <c r="Q139" s="107" t="s">
        <v>144</v>
      </c>
      <c r="R139" s="373">
        <f>2200000/239.64</f>
        <v>9180.437322650643</v>
      </c>
      <c r="S139" s="374">
        <f t="shared" si="25"/>
        <v>14616</v>
      </c>
      <c r="T139" s="375">
        <v>10100</v>
      </c>
      <c r="U139" s="375">
        <f t="shared" si="22"/>
        <v>14616</v>
      </c>
      <c r="V139" s="375">
        <f t="shared" si="23"/>
        <v>10100</v>
      </c>
      <c r="W139" s="376">
        <f t="shared" si="19"/>
        <v>10100</v>
      </c>
      <c r="X139" s="6"/>
    </row>
    <row r="140" spans="1:24" ht="24.75" thickBot="1">
      <c r="A140" s="281" t="e">
        <f t="shared" si="24"/>
        <v>#REF!</v>
      </c>
      <c r="B140" s="377">
        <v>34</v>
      </c>
      <c r="C140" s="378">
        <v>6</v>
      </c>
      <c r="D140" s="112" t="s">
        <v>62</v>
      </c>
      <c r="E140" s="112" t="s">
        <v>235</v>
      </c>
      <c r="F140" s="378">
        <v>2</v>
      </c>
      <c r="G140" s="378">
        <v>700</v>
      </c>
      <c r="H140" s="379">
        <v>24</v>
      </c>
      <c r="I140" s="380">
        <v>24</v>
      </c>
      <c r="J140" s="381">
        <f>$J$4</f>
        <v>2.32</v>
      </c>
      <c r="K140" s="378">
        <v>28</v>
      </c>
      <c r="L140" s="109">
        <v>45</v>
      </c>
      <c r="M140" s="109">
        <v>35</v>
      </c>
      <c r="N140" s="109">
        <v>40</v>
      </c>
      <c r="O140" s="110">
        <f t="shared" si="20"/>
        <v>37.5</v>
      </c>
      <c r="P140" s="110">
        <f t="shared" si="21"/>
        <v>82.5</v>
      </c>
      <c r="Q140" s="109" t="s">
        <v>144</v>
      </c>
      <c r="R140" s="382">
        <f>1200000/239.64</f>
        <v>5007.511266900351</v>
      </c>
      <c r="S140" s="383">
        <f t="shared" si="25"/>
        <v>7795.2</v>
      </c>
      <c r="T140" s="384">
        <v>6533</v>
      </c>
      <c r="U140" s="384">
        <f t="shared" si="22"/>
        <v>7795.2</v>
      </c>
      <c r="V140" s="384">
        <f t="shared" si="23"/>
        <v>6533</v>
      </c>
      <c r="W140" s="385">
        <f t="shared" si="19"/>
        <v>6533</v>
      </c>
      <c r="X140" s="6"/>
    </row>
    <row r="141" spans="1:24" ht="14.25" thickBot="1">
      <c r="A141" s="87" t="e">
        <f t="shared" si="24"/>
        <v>#REF!</v>
      </c>
      <c r="B141" s="297">
        <v>77</v>
      </c>
      <c r="C141" s="113">
        <v>6</v>
      </c>
      <c r="D141" s="101" t="s">
        <v>181</v>
      </c>
      <c r="E141" s="101" t="s">
        <v>236</v>
      </c>
      <c r="F141" s="113">
        <v>1</v>
      </c>
      <c r="G141" s="113">
        <v>350</v>
      </c>
      <c r="H141" s="114">
        <v>12</v>
      </c>
      <c r="I141" s="115">
        <v>12</v>
      </c>
      <c r="J141" s="116">
        <f>$J$4</f>
        <v>2.32</v>
      </c>
      <c r="K141" s="113">
        <v>13</v>
      </c>
      <c r="L141" s="60">
        <v>48</v>
      </c>
      <c r="M141" s="60">
        <v>32</v>
      </c>
      <c r="N141" s="60">
        <v>35</v>
      </c>
      <c r="O141" s="62">
        <f t="shared" si="20"/>
        <v>33.5</v>
      </c>
      <c r="P141" s="62">
        <f t="shared" si="21"/>
        <v>81.5</v>
      </c>
      <c r="Q141" s="60" t="s">
        <v>144</v>
      </c>
      <c r="R141" s="167">
        <f>748684/239.64</f>
        <v>3124.2029711233517</v>
      </c>
      <c r="S141" s="63">
        <f t="shared" si="25"/>
        <v>974.4</v>
      </c>
      <c r="T141" s="200">
        <v>4720</v>
      </c>
      <c r="U141" s="200">
        <f t="shared" si="22"/>
        <v>3124.2029711233517</v>
      </c>
      <c r="V141" s="200">
        <f t="shared" si="23"/>
        <v>3124.2029711233517</v>
      </c>
      <c r="W141" s="201">
        <f t="shared" si="19"/>
        <v>3124.2029711233517</v>
      </c>
      <c r="X141" s="6"/>
    </row>
    <row r="142" spans="1:24" ht="14.25" thickBot="1">
      <c r="A142" s="87" t="e">
        <f t="shared" si="24"/>
        <v>#REF!</v>
      </c>
      <c r="B142" s="297">
        <v>36</v>
      </c>
      <c r="C142" s="113">
        <v>6</v>
      </c>
      <c r="D142" s="101" t="s">
        <v>237</v>
      </c>
      <c r="E142" s="101" t="s">
        <v>238</v>
      </c>
      <c r="F142" s="113">
        <v>2</v>
      </c>
      <c r="G142" s="113">
        <v>800</v>
      </c>
      <c r="H142" s="114">
        <v>33</v>
      </c>
      <c r="I142" s="115">
        <v>33</v>
      </c>
      <c r="J142" s="116">
        <f>$J$4</f>
        <v>2.32</v>
      </c>
      <c r="K142" s="113">
        <v>56</v>
      </c>
      <c r="L142" s="60">
        <v>45</v>
      </c>
      <c r="M142" s="60">
        <v>35</v>
      </c>
      <c r="N142" s="60">
        <v>34</v>
      </c>
      <c r="O142" s="62">
        <f t="shared" si="20"/>
        <v>34.5</v>
      </c>
      <c r="P142" s="62">
        <f t="shared" si="21"/>
        <v>79.5</v>
      </c>
      <c r="Q142" s="60" t="s">
        <v>144</v>
      </c>
      <c r="R142" s="167">
        <v>3155.59</v>
      </c>
      <c r="S142" s="63">
        <f t="shared" si="25"/>
        <v>12249.599999999999</v>
      </c>
      <c r="T142" s="200">
        <v>4500</v>
      </c>
      <c r="U142" s="200">
        <f t="shared" si="22"/>
        <v>12249.599999999999</v>
      </c>
      <c r="V142" s="200">
        <f t="shared" si="23"/>
        <v>4500</v>
      </c>
      <c r="W142" s="201">
        <f t="shared" si="19"/>
        <v>4500</v>
      </c>
      <c r="X142" s="6"/>
    </row>
    <row r="143" spans="1:24" ht="24.75" thickBot="1">
      <c r="A143" s="87" t="e">
        <f t="shared" si="24"/>
        <v>#REF!</v>
      </c>
      <c r="B143" s="297">
        <v>98</v>
      </c>
      <c r="C143" s="113">
        <v>6</v>
      </c>
      <c r="D143" s="101" t="s">
        <v>239</v>
      </c>
      <c r="E143" s="101" t="s">
        <v>240</v>
      </c>
      <c r="F143" s="113">
        <v>2</v>
      </c>
      <c r="G143" s="113">
        <v>400</v>
      </c>
      <c r="H143" s="114">
        <v>28</v>
      </c>
      <c r="I143" s="115">
        <v>20</v>
      </c>
      <c r="J143" s="116">
        <f>$J$4</f>
        <v>2.32</v>
      </c>
      <c r="K143" s="113">
        <v>35</v>
      </c>
      <c r="L143" s="60">
        <v>40</v>
      </c>
      <c r="M143" s="60">
        <v>37</v>
      </c>
      <c r="N143" s="60">
        <v>37</v>
      </c>
      <c r="O143" s="62">
        <f t="shared" si="20"/>
        <v>37</v>
      </c>
      <c r="P143" s="62">
        <f t="shared" si="21"/>
        <v>77</v>
      </c>
      <c r="Q143" s="60" t="s">
        <v>55</v>
      </c>
      <c r="R143" s="167">
        <v>1542</v>
      </c>
      <c r="S143" s="63">
        <f>(F143*G143*I143*J143/10)*0.75</f>
        <v>2784</v>
      </c>
      <c r="T143" s="200">
        <v>4000</v>
      </c>
      <c r="U143" s="200">
        <f t="shared" si="22"/>
        <v>2784</v>
      </c>
      <c r="V143" s="200">
        <f t="shared" si="23"/>
        <v>2784</v>
      </c>
      <c r="W143" s="201">
        <f t="shared" si="19"/>
        <v>2784</v>
      </c>
      <c r="X143" s="6"/>
    </row>
    <row r="144" spans="1:24" ht="24.75" thickBot="1">
      <c r="A144" s="87" t="e">
        <f t="shared" si="24"/>
        <v>#REF!</v>
      </c>
      <c r="B144" s="297">
        <v>56</v>
      </c>
      <c r="C144" s="113">
        <v>6</v>
      </c>
      <c r="D144" s="101" t="s">
        <v>49</v>
      </c>
      <c r="E144" s="101" t="s">
        <v>241</v>
      </c>
      <c r="F144" s="113">
        <v>5</v>
      </c>
      <c r="G144" s="113">
        <v>400</v>
      </c>
      <c r="H144" s="114">
        <v>40</v>
      </c>
      <c r="I144" s="115">
        <v>20</v>
      </c>
      <c r="J144" s="116">
        <f>$J$4</f>
        <v>2.32</v>
      </c>
      <c r="K144" s="113">
        <v>51</v>
      </c>
      <c r="L144" s="60">
        <v>30</v>
      </c>
      <c r="M144" s="60">
        <v>39</v>
      </c>
      <c r="N144" s="60">
        <v>37</v>
      </c>
      <c r="O144" s="62">
        <f t="shared" si="20"/>
        <v>38</v>
      </c>
      <c r="P144" s="62">
        <f t="shared" si="21"/>
        <v>68</v>
      </c>
      <c r="Q144" s="60" t="s">
        <v>55</v>
      </c>
      <c r="R144" s="167">
        <v>2938</v>
      </c>
      <c r="S144" s="63">
        <f>(F144*G144*I144*J144/10)*0.75</f>
        <v>6960</v>
      </c>
      <c r="T144" s="200">
        <v>12000</v>
      </c>
      <c r="U144" s="200">
        <f t="shared" si="22"/>
        <v>6960</v>
      </c>
      <c r="V144" s="200">
        <f t="shared" si="23"/>
        <v>6960</v>
      </c>
      <c r="W144" s="201">
        <f t="shared" si="19"/>
        <v>6960</v>
      </c>
      <c r="X144" s="6"/>
    </row>
    <row r="145" spans="1:24" ht="14.25" thickBot="1">
      <c r="A145" s="87" t="e">
        <f t="shared" si="24"/>
        <v>#REF!</v>
      </c>
      <c r="B145" s="297">
        <v>78</v>
      </c>
      <c r="C145" s="113">
        <v>6</v>
      </c>
      <c r="D145" s="101" t="s">
        <v>181</v>
      </c>
      <c r="E145" s="101" t="s">
        <v>242</v>
      </c>
      <c r="F145" s="113">
        <v>3</v>
      </c>
      <c r="G145" s="113">
        <v>600</v>
      </c>
      <c r="H145" s="114">
        <v>32</v>
      </c>
      <c r="I145" s="115">
        <v>20</v>
      </c>
      <c r="J145" s="116">
        <f>$J$4</f>
        <v>2.32</v>
      </c>
      <c r="K145" s="113">
        <v>40</v>
      </c>
      <c r="L145" s="60">
        <v>30</v>
      </c>
      <c r="M145" s="60">
        <v>37</v>
      </c>
      <c r="N145" s="60">
        <v>37</v>
      </c>
      <c r="O145" s="62">
        <f t="shared" si="20"/>
        <v>37</v>
      </c>
      <c r="P145" s="62">
        <f t="shared" si="21"/>
        <v>67</v>
      </c>
      <c r="Q145" s="60" t="s">
        <v>55</v>
      </c>
      <c r="R145" s="167">
        <f>486000/239.64</f>
        <v>2028.0420630946421</v>
      </c>
      <c r="S145" s="63">
        <f>(F145*G145*I145*J145/10)*0.75</f>
        <v>6264</v>
      </c>
      <c r="T145" s="200">
        <v>3700</v>
      </c>
      <c r="U145" s="200">
        <f t="shared" si="22"/>
        <v>6264</v>
      </c>
      <c r="V145" s="200">
        <f t="shared" si="23"/>
        <v>3700</v>
      </c>
      <c r="W145" s="201">
        <f t="shared" si="19"/>
        <v>3700</v>
      </c>
      <c r="X145" s="6"/>
    </row>
    <row r="146" spans="1:24" ht="14.25" thickBot="1">
      <c r="A146" s="87" t="e">
        <f t="shared" si="24"/>
        <v>#REF!</v>
      </c>
      <c r="B146" s="297">
        <v>84</v>
      </c>
      <c r="C146" s="113">
        <v>6</v>
      </c>
      <c r="D146" s="101" t="s">
        <v>181</v>
      </c>
      <c r="E146" s="101" t="s">
        <v>243</v>
      </c>
      <c r="F146" s="113">
        <v>1</v>
      </c>
      <c r="G146" s="113">
        <v>350</v>
      </c>
      <c r="H146" s="114">
        <v>10</v>
      </c>
      <c r="I146" s="115">
        <v>10</v>
      </c>
      <c r="J146" s="116">
        <f>$J$4</f>
        <v>2.32</v>
      </c>
      <c r="K146" s="113">
        <v>15</v>
      </c>
      <c r="L146" s="60">
        <v>28</v>
      </c>
      <c r="M146" s="60">
        <v>36</v>
      </c>
      <c r="N146" s="60">
        <v>37</v>
      </c>
      <c r="O146" s="62">
        <f t="shared" si="20"/>
        <v>36.5</v>
      </c>
      <c r="P146" s="62">
        <f t="shared" si="21"/>
        <v>64.5</v>
      </c>
      <c r="Q146" s="60" t="s">
        <v>55</v>
      </c>
      <c r="R146" s="167">
        <f>486000/239.64</f>
        <v>2028.0420630946421</v>
      </c>
      <c r="S146" s="63">
        <f>(F146*G146*I146*J146/10)*0.75</f>
        <v>608.9999999999999</v>
      </c>
      <c r="T146" s="200">
        <v>4000</v>
      </c>
      <c r="U146" s="200">
        <f t="shared" si="22"/>
        <v>2028.0420630946421</v>
      </c>
      <c r="V146" s="200">
        <f t="shared" si="23"/>
        <v>2028.0420630946421</v>
      </c>
      <c r="W146" s="201">
        <f t="shared" si="19"/>
        <v>2028.0420630946421</v>
      </c>
      <c r="X146" s="6"/>
    </row>
    <row r="147" spans="1:24" ht="14.25" thickBot="1">
      <c r="A147" s="87" t="e">
        <f t="shared" si="24"/>
        <v>#REF!</v>
      </c>
      <c r="B147" s="297">
        <v>104</v>
      </c>
      <c r="C147" s="113">
        <v>6</v>
      </c>
      <c r="D147" s="101" t="s">
        <v>187</v>
      </c>
      <c r="E147" s="101" t="s">
        <v>244</v>
      </c>
      <c r="F147" s="113">
        <v>12</v>
      </c>
      <c r="G147" s="113">
        <v>900</v>
      </c>
      <c r="H147" s="114">
        <v>80</v>
      </c>
      <c r="I147" s="115">
        <v>20</v>
      </c>
      <c r="J147" s="116">
        <f>$J$4</f>
        <v>2.32</v>
      </c>
      <c r="K147" s="113">
        <v>207</v>
      </c>
      <c r="L147" s="60">
        <v>25</v>
      </c>
      <c r="M147" s="60">
        <v>37</v>
      </c>
      <c r="N147" s="60">
        <v>40</v>
      </c>
      <c r="O147" s="62">
        <f t="shared" si="20"/>
        <v>38.5</v>
      </c>
      <c r="P147" s="62">
        <f t="shared" si="21"/>
        <v>63.5</v>
      </c>
      <c r="Q147" s="60" t="s">
        <v>67</v>
      </c>
      <c r="R147" s="167">
        <v>7344</v>
      </c>
      <c r="S147" s="63">
        <f>(4*G147*I147*J147/10)*$J$5</f>
        <v>0</v>
      </c>
      <c r="T147" s="200">
        <v>78017</v>
      </c>
      <c r="U147" s="200">
        <f t="shared" si="22"/>
        <v>7344</v>
      </c>
      <c r="V147" s="200">
        <f t="shared" si="23"/>
        <v>7344</v>
      </c>
      <c r="W147" s="201">
        <v>8352</v>
      </c>
      <c r="X147" s="6"/>
    </row>
    <row r="148" spans="1:24" ht="14.25" thickBot="1">
      <c r="A148" s="87" t="e">
        <f t="shared" si="24"/>
        <v>#REF!</v>
      </c>
      <c r="B148" s="292">
        <v>106</v>
      </c>
      <c r="C148" s="31">
        <v>6</v>
      </c>
      <c r="D148" s="35" t="s">
        <v>187</v>
      </c>
      <c r="E148" s="35" t="s">
        <v>245</v>
      </c>
      <c r="F148" s="31">
        <v>4</v>
      </c>
      <c r="G148" s="31">
        <v>500</v>
      </c>
      <c r="H148" s="32">
        <v>36</v>
      </c>
      <c r="I148" s="33">
        <v>20</v>
      </c>
      <c r="J148" s="11">
        <f>$J$4</f>
        <v>2.32</v>
      </c>
      <c r="K148" s="31">
        <v>48</v>
      </c>
      <c r="L148" s="13">
        <v>25</v>
      </c>
      <c r="M148" s="13">
        <v>38</v>
      </c>
      <c r="N148" s="13">
        <v>38</v>
      </c>
      <c r="O148" s="12">
        <f t="shared" si="20"/>
        <v>38</v>
      </c>
      <c r="P148" s="12">
        <f t="shared" si="21"/>
        <v>63</v>
      </c>
      <c r="Q148" s="13" t="s">
        <v>67</v>
      </c>
      <c r="R148" s="166">
        <v>8400</v>
      </c>
      <c r="S148" s="34">
        <f>(F148*G148*I148*J148/10)*$J$5</f>
        <v>0</v>
      </c>
      <c r="T148" s="187">
        <v>18538</v>
      </c>
      <c r="U148" s="187">
        <f t="shared" si="22"/>
        <v>8400</v>
      </c>
      <c r="V148" s="187">
        <f t="shared" si="23"/>
        <v>8400</v>
      </c>
      <c r="W148" s="203">
        <f t="shared" si="19"/>
        <v>8400</v>
      </c>
      <c r="X148" s="6"/>
    </row>
    <row r="149" spans="1:24" ht="24.75" thickBot="1">
      <c r="A149" s="87" t="e">
        <f t="shared" si="24"/>
        <v>#REF!</v>
      </c>
      <c r="B149" s="292">
        <v>61</v>
      </c>
      <c r="C149" s="31">
        <v>6</v>
      </c>
      <c r="D149" s="35" t="s">
        <v>62</v>
      </c>
      <c r="E149" s="35" t="s">
        <v>246</v>
      </c>
      <c r="F149" s="31">
        <v>2</v>
      </c>
      <c r="G149" s="31">
        <v>300</v>
      </c>
      <c r="H149" s="32">
        <v>15</v>
      </c>
      <c r="I149" s="33">
        <v>15</v>
      </c>
      <c r="J149" s="11">
        <f>$J$4</f>
        <v>2.32</v>
      </c>
      <c r="K149" s="31">
        <v>25</v>
      </c>
      <c r="L149" s="13">
        <v>25</v>
      </c>
      <c r="M149" s="13">
        <v>37</v>
      </c>
      <c r="N149" s="13">
        <v>33</v>
      </c>
      <c r="O149" s="12">
        <f t="shared" si="20"/>
        <v>35</v>
      </c>
      <c r="P149" s="12">
        <f t="shared" si="21"/>
        <v>60</v>
      </c>
      <c r="Q149" s="13" t="s">
        <v>67</v>
      </c>
      <c r="R149" s="166">
        <v>1658</v>
      </c>
      <c r="S149" s="34">
        <f>(F149*G149*I149*J149/10)*$J$5</f>
        <v>0</v>
      </c>
      <c r="T149" s="187">
        <v>2000</v>
      </c>
      <c r="U149" s="187">
        <f t="shared" si="22"/>
        <v>1658</v>
      </c>
      <c r="V149" s="187">
        <f t="shared" si="23"/>
        <v>1658</v>
      </c>
      <c r="W149" s="203">
        <f t="shared" si="19"/>
        <v>1658</v>
      </c>
      <c r="X149" s="6"/>
    </row>
    <row r="150" spans="1:24" ht="14.25" thickBot="1">
      <c r="A150" s="87" t="e">
        <f t="shared" si="24"/>
        <v>#REF!</v>
      </c>
      <c r="B150" s="292">
        <v>67</v>
      </c>
      <c r="C150" s="31">
        <v>6</v>
      </c>
      <c r="D150" s="35" t="s">
        <v>247</v>
      </c>
      <c r="E150" s="35" t="s">
        <v>248</v>
      </c>
      <c r="F150" s="31">
        <v>6</v>
      </c>
      <c r="G150" s="31">
        <v>850</v>
      </c>
      <c r="H150" s="32">
        <v>30</v>
      </c>
      <c r="I150" s="33">
        <v>20</v>
      </c>
      <c r="J150" s="11">
        <f>$J$4</f>
        <v>2.32</v>
      </c>
      <c r="K150" s="31">
        <v>43</v>
      </c>
      <c r="L150" s="13">
        <v>30</v>
      </c>
      <c r="M150" s="13">
        <v>17</v>
      </c>
      <c r="N150" s="13">
        <v>20</v>
      </c>
      <c r="O150" s="12">
        <f t="shared" si="20"/>
        <v>18.5</v>
      </c>
      <c r="P150" s="12">
        <f t="shared" si="21"/>
        <v>48.5</v>
      </c>
      <c r="Q150" s="13" t="s">
        <v>67</v>
      </c>
      <c r="R150" s="166">
        <f>154000/239.64</f>
        <v>642.630612585545</v>
      </c>
      <c r="S150" s="34">
        <f>(4*G150*I150*J150/10)*$J$5</f>
        <v>0</v>
      </c>
      <c r="T150" s="187">
        <v>3000</v>
      </c>
      <c r="U150" s="187">
        <f t="shared" si="22"/>
        <v>642.630612585545</v>
      </c>
      <c r="V150" s="187">
        <f t="shared" si="23"/>
        <v>642.630612585545</v>
      </c>
      <c r="W150" s="203">
        <v>3000</v>
      </c>
      <c r="X150" s="6"/>
    </row>
    <row r="151" spans="1:24" ht="18" thickBot="1">
      <c r="A151" s="87" t="e">
        <f t="shared" si="24"/>
        <v>#REF!</v>
      </c>
      <c r="B151" s="292"/>
      <c r="C151" s="31"/>
      <c r="D151" s="35"/>
      <c r="E151" s="35"/>
      <c r="F151" s="31"/>
      <c r="G151" s="31"/>
      <c r="H151" s="32"/>
      <c r="I151" s="33"/>
      <c r="J151" s="11"/>
      <c r="K151" s="31"/>
      <c r="L151" s="13"/>
      <c r="M151" s="13"/>
      <c r="N151" s="13"/>
      <c r="O151" s="12"/>
      <c r="P151" s="12"/>
      <c r="Q151" s="58" t="s">
        <v>71</v>
      </c>
      <c r="R151" s="166"/>
      <c r="S151" s="38">
        <f>SUM(S115:S150)</f>
        <v>604563</v>
      </c>
      <c r="T151" s="188">
        <f>SUM(T115:T150)</f>
        <v>514670.08999999997</v>
      </c>
      <c r="U151" s="188"/>
      <c r="V151" s="188"/>
      <c r="W151" s="211">
        <f>SUM(W112:W150)</f>
        <v>403381.78411450505</v>
      </c>
      <c r="X151" s="6"/>
    </row>
    <row r="152" spans="1:24" ht="14.25" thickBot="1">
      <c r="A152" s="87"/>
      <c r="B152" s="292"/>
      <c r="C152" s="31"/>
      <c r="D152" s="53" t="s">
        <v>249</v>
      </c>
      <c r="E152" s="35"/>
      <c r="F152" s="31"/>
      <c r="G152" s="31"/>
      <c r="H152" s="32"/>
      <c r="I152" s="33"/>
      <c r="J152" s="11"/>
      <c r="K152" s="31"/>
      <c r="L152" s="13"/>
      <c r="M152" s="13"/>
      <c r="N152" s="13"/>
      <c r="O152" s="12"/>
      <c r="P152" s="12"/>
      <c r="Q152" s="59"/>
      <c r="R152" s="166"/>
      <c r="S152" s="34"/>
      <c r="T152" s="204"/>
      <c r="U152" s="204"/>
      <c r="V152" s="204"/>
      <c r="W152" s="203"/>
      <c r="X152" s="6"/>
    </row>
    <row r="153" spans="1:24" ht="14.25" thickBot="1">
      <c r="A153" s="87" t="e">
        <f>A151+1</f>
        <v>#REF!</v>
      </c>
      <c r="B153" s="298"/>
      <c r="C153" s="9"/>
      <c r="D153" s="249">
        <v>411259.6</v>
      </c>
      <c r="E153" s="9"/>
      <c r="F153" s="9"/>
      <c r="G153" s="9"/>
      <c r="H153" s="15"/>
      <c r="I153" s="16"/>
      <c r="J153" s="54"/>
      <c r="K153" s="9"/>
      <c r="L153" s="13"/>
      <c r="M153" s="13"/>
      <c r="N153" s="13"/>
      <c r="O153" s="12"/>
      <c r="P153" s="13"/>
      <c r="Q153" s="57"/>
      <c r="R153" s="166"/>
      <c r="S153" s="14"/>
      <c r="T153" s="181"/>
      <c r="U153" s="183"/>
      <c r="V153" s="183"/>
      <c r="W153" s="212"/>
      <c r="X153" s="6"/>
    </row>
    <row r="154" spans="1:24" ht="33.75" thickBot="1">
      <c r="A154" s="87"/>
      <c r="B154" s="64"/>
      <c r="C154" s="83"/>
      <c r="D154" s="36"/>
      <c r="E154" s="82"/>
      <c r="F154" s="82"/>
      <c r="G154" s="82"/>
      <c r="H154" s="83"/>
      <c r="I154" s="56"/>
      <c r="J154" s="310"/>
      <c r="K154" s="82"/>
      <c r="L154" s="84"/>
      <c r="M154" s="84"/>
      <c r="N154" s="84"/>
      <c r="O154" s="85"/>
      <c r="P154" s="84"/>
      <c r="Q154" s="311" t="s">
        <v>284</v>
      </c>
      <c r="R154" s="312">
        <v>366499.65</v>
      </c>
      <c r="S154" s="89"/>
      <c r="T154" s="313" t="s">
        <v>293</v>
      </c>
      <c r="U154" s="191"/>
      <c r="V154" s="191"/>
      <c r="W154" s="236">
        <v>36882.04</v>
      </c>
      <c r="X154" s="6"/>
    </row>
    <row r="155" spans="1:24" ht="16.5">
      <c r="A155" s="232"/>
      <c r="B155" s="75"/>
      <c r="C155" s="132"/>
      <c r="D155" s="132"/>
      <c r="E155" s="132"/>
      <c r="F155" s="132"/>
      <c r="G155" s="132"/>
      <c r="H155" s="132"/>
      <c r="I155" s="132"/>
      <c r="J155" s="143"/>
      <c r="K155" s="132"/>
      <c r="L155" s="144"/>
      <c r="M155" s="144"/>
      <c r="N155" s="144"/>
      <c r="O155" s="145"/>
      <c r="P155" s="144"/>
      <c r="Q155" s="301"/>
      <c r="R155" s="302"/>
      <c r="S155" s="147"/>
      <c r="T155" s="303"/>
      <c r="U155" s="132"/>
      <c r="V155" s="132"/>
      <c r="W155" s="304"/>
      <c r="X155" s="6"/>
    </row>
    <row r="156" spans="1:24" ht="14.25" thickBot="1">
      <c r="A156" s="280"/>
      <c r="B156" s="132"/>
      <c r="C156" s="132"/>
      <c r="D156" s="131"/>
      <c r="E156" s="75"/>
      <c r="F156" s="132"/>
      <c r="G156" s="132"/>
      <c r="H156" s="132"/>
      <c r="I156" s="132"/>
      <c r="J156" s="143"/>
      <c r="K156" s="132"/>
      <c r="L156" s="132"/>
      <c r="M156" s="132"/>
      <c r="N156" s="132"/>
      <c r="O156" s="145"/>
      <c r="P156" s="144"/>
      <c r="Q156" s="129"/>
      <c r="R156" s="173"/>
      <c r="S156" s="147"/>
      <c r="T156" s="132"/>
      <c r="U156" s="132"/>
      <c r="V156" s="132"/>
      <c r="W156" s="141"/>
      <c r="X156" s="6"/>
    </row>
    <row r="157" spans="1:24" ht="18" thickBot="1">
      <c r="A157" s="87"/>
      <c r="B157" s="305"/>
      <c r="C157" s="306"/>
      <c r="D157" s="307"/>
      <c r="E157" s="75"/>
      <c r="F157" s="132"/>
      <c r="G157" s="132"/>
      <c r="H157" s="132"/>
      <c r="I157" s="132"/>
      <c r="J157" s="143"/>
      <c r="K157" s="132"/>
      <c r="L157" s="132"/>
      <c r="M157" s="132"/>
      <c r="N157" s="132"/>
      <c r="O157" s="145"/>
      <c r="P157" s="144"/>
      <c r="Q157" s="301"/>
      <c r="R157" s="302"/>
      <c r="S157" s="308"/>
      <c r="T157" s="303"/>
      <c r="U157" s="309"/>
      <c r="V157" s="309"/>
      <c r="W157" s="304"/>
      <c r="X157" s="6"/>
    </row>
    <row r="158" spans="1:24" ht="18" thickBot="1">
      <c r="A158" s="87" t="s">
        <v>251</v>
      </c>
      <c r="B158" s="336" t="s">
        <v>250</v>
      </c>
      <c r="C158" s="337"/>
      <c r="D158" s="338"/>
      <c r="E158" s="317"/>
      <c r="F158" s="339" t="s">
        <v>2</v>
      </c>
      <c r="G158" s="339" t="s">
        <v>1</v>
      </c>
      <c r="H158" s="340" t="s">
        <v>21</v>
      </c>
      <c r="I158" s="341" t="s">
        <v>21</v>
      </c>
      <c r="J158" s="342" t="s">
        <v>3</v>
      </c>
      <c r="K158" s="319"/>
      <c r="L158" s="324"/>
      <c r="M158" s="324"/>
      <c r="N158" s="324"/>
      <c r="O158" s="323"/>
      <c r="P158" s="324"/>
      <c r="Q158" s="324"/>
      <c r="R158" s="343"/>
      <c r="S158" s="344"/>
      <c r="T158" s="345"/>
      <c r="U158" s="345"/>
      <c r="V158" s="345"/>
      <c r="W158" s="346"/>
      <c r="X158" s="6"/>
    </row>
    <row r="159" spans="1:24" ht="13.5">
      <c r="A159" s="278" t="s">
        <v>252</v>
      </c>
      <c r="B159" s="331" t="s">
        <v>22</v>
      </c>
      <c r="C159" s="332" t="s">
        <v>23</v>
      </c>
      <c r="D159" s="332"/>
      <c r="E159" s="332" t="s">
        <v>25</v>
      </c>
      <c r="F159" s="332" t="s">
        <v>26</v>
      </c>
      <c r="G159" s="332" t="s">
        <v>27</v>
      </c>
      <c r="H159" s="81" t="s">
        <v>28</v>
      </c>
      <c r="I159" s="43" t="s">
        <v>28</v>
      </c>
      <c r="J159" s="276" t="s">
        <v>29</v>
      </c>
      <c r="K159" s="44" t="s">
        <v>28</v>
      </c>
      <c r="L159" s="332" t="s">
        <v>30</v>
      </c>
      <c r="M159" s="332" t="s">
        <v>31</v>
      </c>
      <c r="N159" s="332" t="s">
        <v>32</v>
      </c>
      <c r="O159" s="333" t="s">
        <v>33</v>
      </c>
      <c r="P159" s="332" t="s">
        <v>34</v>
      </c>
      <c r="Q159" s="332" t="s">
        <v>35</v>
      </c>
      <c r="R159" s="334" t="s">
        <v>36</v>
      </c>
      <c r="S159" s="45" t="s">
        <v>37</v>
      </c>
      <c r="T159" s="197" t="s">
        <v>38</v>
      </c>
      <c r="U159" s="197"/>
      <c r="V159" s="197"/>
      <c r="W159" s="335" t="s">
        <v>295</v>
      </c>
      <c r="X159" s="6"/>
    </row>
    <row r="160" spans="1:24" ht="24.75" thickBot="1">
      <c r="A160" s="279"/>
      <c r="B160" s="296"/>
      <c r="C160" s="248"/>
      <c r="D160" s="248"/>
      <c r="E160" s="248"/>
      <c r="F160" s="248"/>
      <c r="G160" s="248"/>
      <c r="H160" s="46" t="s">
        <v>39</v>
      </c>
      <c r="I160" s="47" t="s">
        <v>39</v>
      </c>
      <c r="J160" s="269"/>
      <c r="K160" s="48" t="s">
        <v>41</v>
      </c>
      <c r="L160" s="248"/>
      <c r="M160" s="248"/>
      <c r="N160" s="248"/>
      <c r="O160" s="271"/>
      <c r="P160" s="248"/>
      <c r="Q160" s="248"/>
      <c r="R160" s="273"/>
      <c r="S160" s="49" t="s">
        <v>42</v>
      </c>
      <c r="T160" s="121">
        <v>2009</v>
      </c>
      <c r="U160" s="199" t="s">
        <v>43</v>
      </c>
      <c r="V160" s="199" t="s">
        <v>43</v>
      </c>
      <c r="W160" s="275"/>
      <c r="X160" s="6"/>
    </row>
    <row r="161" spans="1:24" s="127" customFormat="1" ht="24.75" thickBot="1">
      <c r="A161" s="386">
        <f>A164+1</f>
        <v>139</v>
      </c>
      <c r="B161" s="297">
        <v>3</v>
      </c>
      <c r="C161" s="113">
        <v>7</v>
      </c>
      <c r="D161" s="101" t="s">
        <v>253</v>
      </c>
      <c r="E161" s="101" t="s">
        <v>254</v>
      </c>
      <c r="F161" s="113">
        <v>2</v>
      </c>
      <c r="G161" s="113">
        <v>1000</v>
      </c>
      <c r="H161" s="114">
        <v>6</v>
      </c>
      <c r="I161" s="115">
        <v>6</v>
      </c>
      <c r="J161" s="116">
        <f>$J$4*1.5</f>
        <v>3.4799999999999995</v>
      </c>
      <c r="K161" s="113">
        <v>8</v>
      </c>
      <c r="L161" s="60">
        <v>43</v>
      </c>
      <c r="M161" s="60">
        <v>25</v>
      </c>
      <c r="N161" s="60">
        <v>29</v>
      </c>
      <c r="O161" s="62">
        <f aca="true" t="shared" si="26" ref="O161:O176">(M161+N161)/2</f>
        <v>27</v>
      </c>
      <c r="P161" s="243">
        <f aca="true" t="shared" si="27" ref="P161:P175">O161+L161</f>
        <v>70</v>
      </c>
      <c r="Q161" s="60" t="s">
        <v>286</v>
      </c>
      <c r="R161" s="167">
        <v>10500</v>
      </c>
      <c r="S161" s="63">
        <f>F161*G161*I161*J161/10</f>
        <v>4175.999999999999</v>
      </c>
      <c r="T161" s="200">
        <v>13200</v>
      </c>
      <c r="U161" s="200">
        <f aca="true" t="shared" si="28" ref="U161:U175">IF(S161&gt;R161,S161,R161)</f>
        <v>10500</v>
      </c>
      <c r="V161" s="200">
        <f aca="true" t="shared" si="29" ref="V161:V176">IF(U161&gt;T161,T161,U161)</f>
        <v>10500</v>
      </c>
      <c r="W161" s="201">
        <f aca="true" t="shared" si="30" ref="W161:W173">V161</f>
        <v>10500</v>
      </c>
      <c r="X161" s="387"/>
    </row>
    <row r="162" spans="1:24" ht="14.25" thickBot="1">
      <c r="A162" s="87">
        <v>136</v>
      </c>
      <c r="B162" s="292">
        <v>1</v>
      </c>
      <c r="C162" s="31">
        <v>7</v>
      </c>
      <c r="D162" s="35" t="s">
        <v>207</v>
      </c>
      <c r="E162" s="101" t="s">
        <v>255</v>
      </c>
      <c r="F162" s="31">
        <v>5</v>
      </c>
      <c r="G162" s="31">
        <v>700</v>
      </c>
      <c r="H162" s="32">
        <v>65</v>
      </c>
      <c r="I162" s="33">
        <v>65</v>
      </c>
      <c r="J162" s="11">
        <f>$J$4</f>
        <v>2.32</v>
      </c>
      <c r="K162" s="31">
        <v>70</v>
      </c>
      <c r="L162" s="60">
        <v>60</v>
      </c>
      <c r="M162" s="60">
        <v>38</v>
      </c>
      <c r="N162" s="60">
        <v>40</v>
      </c>
      <c r="O162" s="62">
        <f t="shared" si="26"/>
        <v>39</v>
      </c>
      <c r="P162" s="12">
        <f t="shared" si="27"/>
        <v>99</v>
      </c>
      <c r="Q162" s="13" t="s">
        <v>144</v>
      </c>
      <c r="R162" s="166">
        <f>3728674/239.64</f>
        <v>15559.480887998665</v>
      </c>
      <c r="S162" s="34">
        <f>F162*G162*I162*J162/10</f>
        <v>52780</v>
      </c>
      <c r="T162" s="187">
        <v>15559.48</v>
      </c>
      <c r="U162" s="187">
        <f t="shared" si="28"/>
        <v>52780</v>
      </c>
      <c r="V162" s="187">
        <f t="shared" si="29"/>
        <v>15559.48</v>
      </c>
      <c r="W162" s="203">
        <f t="shared" si="30"/>
        <v>15559.48</v>
      </c>
      <c r="X162" s="6"/>
    </row>
    <row r="163" spans="1:24" ht="14.25" thickBot="1">
      <c r="A163" s="87" t="s">
        <v>256</v>
      </c>
      <c r="B163" s="292">
        <v>48</v>
      </c>
      <c r="C163" s="31">
        <v>7</v>
      </c>
      <c r="D163" s="35" t="s">
        <v>64</v>
      </c>
      <c r="E163" s="101" t="s">
        <v>257</v>
      </c>
      <c r="F163" s="31">
        <v>3</v>
      </c>
      <c r="G163" s="31">
        <v>700</v>
      </c>
      <c r="H163" s="32">
        <v>50</v>
      </c>
      <c r="I163" s="33">
        <v>50</v>
      </c>
      <c r="J163" s="11">
        <f>$J$4</f>
        <v>2.32</v>
      </c>
      <c r="K163" s="31">
        <v>53</v>
      </c>
      <c r="L163" s="60">
        <v>63</v>
      </c>
      <c r="M163" s="60">
        <v>23</v>
      </c>
      <c r="N163" s="60">
        <v>27</v>
      </c>
      <c r="O163" s="62">
        <f t="shared" si="26"/>
        <v>25</v>
      </c>
      <c r="P163" s="12">
        <f t="shared" si="27"/>
        <v>88</v>
      </c>
      <c r="Q163" s="13" t="s">
        <v>144</v>
      </c>
      <c r="R163" s="166">
        <f>3846000/239.64</f>
        <v>16049.073610415624</v>
      </c>
      <c r="S163" s="34">
        <f>F163*G163*I163*J163/10</f>
        <v>24359.999999999996</v>
      </c>
      <c r="T163" s="187">
        <v>26750</v>
      </c>
      <c r="U163" s="187">
        <f t="shared" si="28"/>
        <v>24359.999999999996</v>
      </c>
      <c r="V163" s="187">
        <f t="shared" si="29"/>
        <v>24359.999999999996</v>
      </c>
      <c r="W163" s="203">
        <f t="shared" si="30"/>
        <v>24359.999999999996</v>
      </c>
      <c r="X163" s="6"/>
    </row>
    <row r="164" spans="1:24" ht="14.25" thickBot="1">
      <c r="A164" s="87">
        <v>138</v>
      </c>
      <c r="B164" s="292">
        <v>32</v>
      </c>
      <c r="C164" s="31">
        <v>7</v>
      </c>
      <c r="D164" s="35" t="s">
        <v>258</v>
      </c>
      <c r="E164" s="101" t="s">
        <v>259</v>
      </c>
      <c r="F164" s="31">
        <v>4</v>
      </c>
      <c r="G164" s="31">
        <v>700</v>
      </c>
      <c r="H164" s="32">
        <v>20</v>
      </c>
      <c r="I164" s="33">
        <v>20</v>
      </c>
      <c r="J164" s="11">
        <f>$J$4</f>
        <v>2.32</v>
      </c>
      <c r="K164" s="31">
        <v>36</v>
      </c>
      <c r="L164" s="60">
        <v>55</v>
      </c>
      <c r="M164" s="60">
        <v>26</v>
      </c>
      <c r="N164" s="60">
        <v>24</v>
      </c>
      <c r="O164" s="62">
        <f t="shared" si="26"/>
        <v>25</v>
      </c>
      <c r="P164" s="12">
        <f t="shared" si="27"/>
        <v>80</v>
      </c>
      <c r="Q164" s="13" t="s">
        <v>144</v>
      </c>
      <c r="R164" s="166">
        <v>5141</v>
      </c>
      <c r="S164" s="34">
        <f>F164*G164*I164*J164/10</f>
        <v>12991.999999999998</v>
      </c>
      <c r="T164" s="187">
        <v>10826</v>
      </c>
      <c r="U164" s="187">
        <f t="shared" si="28"/>
        <v>12991.999999999998</v>
      </c>
      <c r="V164" s="187">
        <f t="shared" si="29"/>
        <v>10826</v>
      </c>
      <c r="W164" s="203">
        <f t="shared" si="30"/>
        <v>10826</v>
      </c>
      <c r="X164" s="6"/>
    </row>
    <row r="165" spans="1:24" ht="24.75" thickBot="1">
      <c r="A165" s="87">
        <f>A161+1</f>
        <v>140</v>
      </c>
      <c r="B165" s="292">
        <v>23</v>
      </c>
      <c r="C165" s="31">
        <v>7</v>
      </c>
      <c r="D165" s="35" t="s">
        <v>260</v>
      </c>
      <c r="E165" s="101" t="s">
        <v>261</v>
      </c>
      <c r="F165" s="31">
        <v>3</v>
      </c>
      <c r="G165" s="31">
        <v>1500</v>
      </c>
      <c r="H165" s="32">
        <v>40</v>
      </c>
      <c r="I165" s="33">
        <v>20</v>
      </c>
      <c r="J165" s="11">
        <f>$J$4</f>
        <v>2.32</v>
      </c>
      <c r="K165" s="31">
        <v>45</v>
      </c>
      <c r="L165" s="13">
        <v>50</v>
      </c>
      <c r="M165" s="13">
        <v>28</v>
      </c>
      <c r="N165" s="13">
        <v>28</v>
      </c>
      <c r="O165" s="12">
        <f t="shared" si="26"/>
        <v>28</v>
      </c>
      <c r="P165" s="12">
        <f t="shared" si="27"/>
        <v>78</v>
      </c>
      <c r="Q165" s="13" t="s">
        <v>55</v>
      </c>
      <c r="R165" s="166">
        <f>2040000/239.64</f>
        <v>8512.769153730596</v>
      </c>
      <c r="S165" s="34">
        <f>(F165*1000*I165*J165/10)*0.75</f>
        <v>10440</v>
      </c>
      <c r="T165" s="187">
        <v>9000</v>
      </c>
      <c r="U165" s="187">
        <f t="shared" si="28"/>
        <v>10440</v>
      </c>
      <c r="V165" s="187">
        <f t="shared" si="29"/>
        <v>9000</v>
      </c>
      <c r="W165" s="203">
        <f t="shared" si="30"/>
        <v>9000</v>
      </c>
      <c r="X165" s="6"/>
    </row>
    <row r="166" spans="1:24" ht="14.25" thickBot="1">
      <c r="A166" s="87">
        <f aca="true" t="shared" si="31" ref="A166:A179">A165+1</f>
        <v>141</v>
      </c>
      <c r="B166" s="292">
        <v>40</v>
      </c>
      <c r="C166" s="31">
        <v>7</v>
      </c>
      <c r="D166" s="35" t="s">
        <v>262</v>
      </c>
      <c r="E166" s="35" t="s">
        <v>263</v>
      </c>
      <c r="F166" s="31">
        <v>5</v>
      </c>
      <c r="G166" s="31">
        <v>1350</v>
      </c>
      <c r="H166" s="32">
        <v>69</v>
      </c>
      <c r="I166" s="33">
        <v>20</v>
      </c>
      <c r="J166" s="11">
        <f>$J$4</f>
        <v>2.32</v>
      </c>
      <c r="K166" s="31">
        <v>80</v>
      </c>
      <c r="L166" s="13">
        <v>50</v>
      </c>
      <c r="M166" s="13">
        <v>26</v>
      </c>
      <c r="N166" s="13">
        <v>26</v>
      </c>
      <c r="O166" s="12">
        <f t="shared" si="26"/>
        <v>26</v>
      </c>
      <c r="P166" s="12">
        <f t="shared" si="27"/>
        <v>76</v>
      </c>
      <c r="Q166" s="13" t="s">
        <v>55</v>
      </c>
      <c r="R166" s="166">
        <v>10323.79</v>
      </c>
      <c r="S166" s="34">
        <f>(4*1000*I166*J166/10)*0.75</f>
        <v>13920</v>
      </c>
      <c r="T166" s="187">
        <v>15000</v>
      </c>
      <c r="U166" s="187">
        <f t="shared" si="28"/>
        <v>13920</v>
      </c>
      <c r="V166" s="187">
        <f t="shared" si="29"/>
        <v>13920</v>
      </c>
      <c r="W166" s="203">
        <f t="shared" si="30"/>
        <v>13920</v>
      </c>
      <c r="X166" s="6"/>
    </row>
    <row r="167" spans="1:24" ht="14.25" thickBot="1">
      <c r="A167" s="87">
        <f t="shared" si="31"/>
        <v>142</v>
      </c>
      <c r="B167" s="292">
        <v>124</v>
      </c>
      <c r="C167" s="31">
        <v>7</v>
      </c>
      <c r="D167" s="35" t="s">
        <v>264</v>
      </c>
      <c r="E167" s="35" t="s">
        <v>265</v>
      </c>
      <c r="F167" s="31">
        <v>5</v>
      </c>
      <c r="G167" s="31">
        <v>1400</v>
      </c>
      <c r="H167" s="32">
        <v>31</v>
      </c>
      <c r="I167" s="33">
        <v>20</v>
      </c>
      <c r="J167" s="11">
        <f>$J$4</f>
        <v>2.32</v>
      </c>
      <c r="K167" s="31">
        <v>47</v>
      </c>
      <c r="L167" s="13">
        <v>45</v>
      </c>
      <c r="M167" s="13">
        <v>40</v>
      </c>
      <c r="N167" s="13">
        <v>22</v>
      </c>
      <c r="O167" s="12">
        <f t="shared" si="26"/>
        <v>31</v>
      </c>
      <c r="P167" s="12">
        <f t="shared" si="27"/>
        <v>76</v>
      </c>
      <c r="Q167" s="13" t="s">
        <v>55</v>
      </c>
      <c r="R167" s="166">
        <v>16721</v>
      </c>
      <c r="S167" s="34">
        <f>(4*1000*I167*J167/10)*0.75</f>
        <v>13920</v>
      </c>
      <c r="T167" s="187">
        <v>20000</v>
      </c>
      <c r="U167" s="187">
        <f t="shared" si="28"/>
        <v>16721</v>
      </c>
      <c r="V167" s="187">
        <f t="shared" si="29"/>
        <v>16721</v>
      </c>
      <c r="W167" s="203">
        <f t="shared" si="30"/>
        <v>16721</v>
      </c>
      <c r="X167" s="6"/>
    </row>
    <row r="168" spans="1:24" ht="24.75" thickBot="1">
      <c r="A168" s="87">
        <f t="shared" si="31"/>
        <v>143</v>
      </c>
      <c r="B168" s="292">
        <v>39</v>
      </c>
      <c r="C168" s="31">
        <v>7</v>
      </c>
      <c r="D168" s="35" t="s">
        <v>266</v>
      </c>
      <c r="E168" s="101" t="s">
        <v>267</v>
      </c>
      <c r="F168" s="31">
        <v>3</v>
      </c>
      <c r="G168" s="31">
        <v>400</v>
      </c>
      <c r="H168" s="32">
        <v>16</v>
      </c>
      <c r="I168" s="33">
        <v>16</v>
      </c>
      <c r="J168" s="11">
        <f>$J$4</f>
        <v>2.32</v>
      </c>
      <c r="K168" s="31">
        <v>18</v>
      </c>
      <c r="L168" s="13">
        <v>45</v>
      </c>
      <c r="M168" s="13">
        <v>28</v>
      </c>
      <c r="N168" s="13">
        <v>26</v>
      </c>
      <c r="O168" s="12">
        <f t="shared" si="26"/>
        <v>27</v>
      </c>
      <c r="P168" s="12">
        <f t="shared" si="27"/>
        <v>72</v>
      </c>
      <c r="Q168" s="13" t="s">
        <v>55</v>
      </c>
      <c r="R168" s="166">
        <f>2048000/239.64</f>
        <v>8546.1525621766</v>
      </c>
      <c r="S168" s="34">
        <f>(F168*G168*I168*J168/10)*0.75</f>
        <v>3340.7999999999997</v>
      </c>
      <c r="T168" s="187">
        <v>20388</v>
      </c>
      <c r="U168" s="187">
        <f t="shared" si="28"/>
        <v>8546.1525621766</v>
      </c>
      <c r="V168" s="187">
        <f t="shared" si="29"/>
        <v>8546.1525621766</v>
      </c>
      <c r="W168" s="203">
        <f t="shared" si="30"/>
        <v>8546.1525621766</v>
      </c>
      <c r="X168" s="6"/>
    </row>
    <row r="169" spans="1:24" ht="14.25" thickBot="1">
      <c r="A169" s="87">
        <f t="shared" si="31"/>
        <v>144</v>
      </c>
      <c r="B169" s="292">
        <v>12</v>
      </c>
      <c r="C169" s="31">
        <v>7</v>
      </c>
      <c r="D169" s="35" t="s">
        <v>268</v>
      </c>
      <c r="E169" s="35" t="s">
        <v>269</v>
      </c>
      <c r="F169" s="31">
        <v>10</v>
      </c>
      <c r="G169" s="31">
        <v>850</v>
      </c>
      <c r="H169" s="32">
        <v>40</v>
      </c>
      <c r="I169" s="33">
        <v>20</v>
      </c>
      <c r="J169" s="11">
        <f>$J$4</f>
        <v>2.32</v>
      </c>
      <c r="K169" s="31">
        <v>64</v>
      </c>
      <c r="L169" s="13">
        <v>40</v>
      </c>
      <c r="M169" s="13">
        <v>29</v>
      </c>
      <c r="N169" s="13">
        <v>27</v>
      </c>
      <c r="O169" s="12">
        <f t="shared" si="26"/>
        <v>28</v>
      </c>
      <c r="P169" s="12">
        <f t="shared" si="27"/>
        <v>68</v>
      </c>
      <c r="Q169" s="13" t="s">
        <v>55</v>
      </c>
      <c r="R169" s="166">
        <v>11982</v>
      </c>
      <c r="S169" s="34">
        <f>(4*G169*I169*J169/10)*0.75</f>
        <v>11832</v>
      </c>
      <c r="T169" s="187">
        <v>14000</v>
      </c>
      <c r="U169" s="187">
        <f t="shared" si="28"/>
        <v>11982</v>
      </c>
      <c r="V169" s="187">
        <f t="shared" si="29"/>
        <v>11982</v>
      </c>
      <c r="W169" s="203">
        <f t="shared" si="30"/>
        <v>11982</v>
      </c>
      <c r="X169" s="6"/>
    </row>
    <row r="170" spans="1:24" ht="36.75" thickBot="1">
      <c r="A170" s="87">
        <f t="shared" si="31"/>
        <v>145</v>
      </c>
      <c r="B170" s="292">
        <v>5</v>
      </c>
      <c r="C170" s="31">
        <v>7</v>
      </c>
      <c r="D170" s="35" t="s">
        <v>270</v>
      </c>
      <c r="E170" s="35" t="s">
        <v>271</v>
      </c>
      <c r="F170" s="31">
        <v>6</v>
      </c>
      <c r="G170" s="31">
        <v>3000</v>
      </c>
      <c r="H170" s="32">
        <v>45</v>
      </c>
      <c r="I170" s="33">
        <v>20</v>
      </c>
      <c r="J170" s="11">
        <f>$J$4</f>
        <v>2.32</v>
      </c>
      <c r="K170" s="31">
        <v>65</v>
      </c>
      <c r="L170" s="13">
        <v>45</v>
      </c>
      <c r="M170" s="13">
        <v>20</v>
      </c>
      <c r="N170" s="13">
        <v>24</v>
      </c>
      <c r="O170" s="12">
        <f t="shared" si="26"/>
        <v>22</v>
      </c>
      <c r="P170" s="12">
        <f t="shared" si="27"/>
        <v>67</v>
      </c>
      <c r="Q170" s="13" t="s">
        <v>55</v>
      </c>
      <c r="R170" s="166">
        <v>5500</v>
      </c>
      <c r="S170" s="34">
        <f>(4*1000*I170*J170/10)*0.75</f>
        <v>13920</v>
      </c>
      <c r="T170" s="187">
        <v>5500</v>
      </c>
      <c r="U170" s="187">
        <f t="shared" si="28"/>
        <v>13920</v>
      </c>
      <c r="V170" s="187">
        <f t="shared" si="29"/>
        <v>5500</v>
      </c>
      <c r="W170" s="203">
        <f t="shared" si="30"/>
        <v>5500</v>
      </c>
      <c r="X170" s="6"/>
    </row>
    <row r="171" spans="1:24" ht="36.75" thickBot="1">
      <c r="A171" s="87">
        <f t="shared" si="31"/>
        <v>146</v>
      </c>
      <c r="B171" s="292">
        <v>115</v>
      </c>
      <c r="C171" s="31">
        <v>7</v>
      </c>
      <c r="D171" s="35" t="s">
        <v>272</v>
      </c>
      <c r="E171" s="35" t="s">
        <v>273</v>
      </c>
      <c r="F171" s="31">
        <v>4</v>
      </c>
      <c r="G171" s="31">
        <v>500</v>
      </c>
      <c r="H171" s="32">
        <v>70</v>
      </c>
      <c r="I171" s="33">
        <v>20</v>
      </c>
      <c r="J171" s="11">
        <f>$J$4</f>
        <v>2.32</v>
      </c>
      <c r="K171" s="31">
        <v>90</v>
      </c>
      <c r="L171" s="13">
        <v>35</v>
      </c>
      <c r="M171" s="13">
        <v>27</v>
      </c>
      <c r="N171" s="13">
        <v>33</v>
      </c>
      <c r="O171" s="12">
        <f t="shared" si="26"/>
        <v>30</v>
      </c>
      <c r="P171" s="12">
        <f t="shared" si="27"/>
        <v>65</v>
      </c>
      <c r="Q171" s="13" t="s">
        <v>55</v>
      </c>
      <c r="R171" s="166">
        <v>11959</v>
      </c>
      <c r="S171" s="34">
        <f>(F171*G171*I171*J171/10)*0.75</f>
        <v>6960</v>
      </c>
      <c r="T171" s="187">
        <v>26794.75</v>
      </c>
      <c r="U171" s="187">
        <f t="shared" si="28"/>
        <v>11959</v>
      </c>
      <c r="V171" s="187">
        <f t="shared" si="29"/>
        <v>11959</v>
      </c>
      <c r="W171" s="203">
        <f t="shared" si="30"/>
        <v>11959</v>
      </c>
      <c r="X171" s="6"/>
    </row>
    <row r="172" spans="1:24" ht="14.25" thickBot="1">
      <c r="A172" s="87">
        <f t="shared" si="31"/>
        <v>147</v>
      </c>
      <c r="B172" s="292">
        <v>55</v>
      </c>
      <c r="C172" s="31">
        <v>7</v>
      </c>
      <c r="D172" s="35" t="s">
        <v>138</v>
      </c>
      <c r="E172" s="101" t="s">
        <v>274</v>
      </c>
      <c r="F172" s="31">
        <v>2</v>
      </c>
      <c r="G172" s="31">
        <v>200</v>
      </c>
      <c r="H172" s="32">
        <v>15</v>
      </c>
      <c r="I172" s="33">
        <v>15</v>
      </c>
      <c r="J172" s="11">
        <f>$J$4</f>
        <v>2.32</v>
      </c>
      <c r="K172" s="31">
        <v>15</v>
      </c>
      <c r="L172" s="13">
        <v>45</v>
      </c>
      <c r="M172" s="13">
        <v>17</v>
      </c>
      <c r="N172" s="13">
        <v>20</v>
      </c>
      <c r="O172" s="12">
        <f t="shared" si="26"/>
        <v>18.5</v>
      </c>
      <c r="P172" s="12">
        <f t="shared" si="27"/>
        <v>63.5</v>
      </c>
      <c r="Q172" s="13" t="s">
        <v>67</v>
      </c>
      <c r="R172" s="166">
        <f>935000/239.64</f>
        <v>3901.6858621265233</v>
      </c>
      <c r="S172" s="34">
        <f>(F172*G172*I172*J172/10)*$J$5</f>
        <v>0</v>
      </c>
      <c r="T172" s="187">
        <v>5000</v>
      </c>
      <c r="U172" s="187">
        <f t="shared" si="28"/>
        <v>3901.6858621265233</v>
      </c>
      <c r="V172" s="187">
        <f t="shared" si="29"/>
        <v>3901.6858621265233</v>
      </c>
      <c r="W172" s="203">
        <f t="shared" si="30"/>
        <v>3901.6858621265233</v>
      </c>
      <c r="X172" s="6"/>
    </row>
    <row r="173" spans="1:24" ht="24.75" thickBot="1">
      <c r="A173" s="87">
        <f t="shared" si="31"/>
        <v>148</v>
      </c>
      <c r="B173" s="292">
        <v>101</v>
      </c>
      <c r="C173" s="31">
        <v>7</v>
      </c>
      <c r="D173" s="35" t="s">
        <v>87</v>
      </c>
      <c r="E173" s="35" t="s">
        <v>275</v>
      </c>
      <c r="F173" s="31">
        <v>4</v>
      </c>
      <c r="G173" s="31">
        <v>300</v>
      </c>
      <c r="H173" s="32">
        <v>25</v>
      </c>
      <c r="I173" s="33">
        <v>20</v>
      </c>
      <c r="J173" s="11">
        <f>$J$4</f>
        <v>2.32</v>
      </c>
      <c r="K173" s="31">
        <v>35</v>
      </c>
      <c r="L173" s="13">
        <v>35</v>
      </c>
      <c r="M173" s="13">
        <v>27</v>
      </c>
      <c r="N173" s="13">
        <v>28</v>
      </c>
      <c r="O173" s="12">
        <f t="shared" si="26"/>
        <v>27.5</v>
      </c>
      <c r="P173" s="12">
        <f t="shared" si="27"/>
        <v>62.5</v>
      </c>
      <c r="Q173" s="13" t="s">
        <v>67</v>
      </c>
      <c r="R173" s="166">
        <v>9559</v>
      </c>
      <c r="S173" s="34">
        <f>(F173*G173*I173*J173/10)*$J$5</f>
        <v>0</v>
      </c>
      <c r="T173" s="187">
        <v>10000</v>
      </c>
      <c r="U173" s="187">
        <f t="shared" si="28"/>
        <v>9559</v>
      </c>
      <c r="V173" s="187">
        <f t="shared" si="29"/>
        <v>9559</v>
      </c>
      <c r="W173" s="203">
        <f t="shared" si="30"/>
        <v>9559</v>
      </c>
      <c r="X173" s="6"/>
    </row>
    <row r="174" spans="1:24" ht="48.75" thickBot="1">
      <c r="A174" s="87">
        <f t="shared" si="31"/>
        <v>149</v>
      </c>
      <c r="B174" s="292">
        <v>85</v>
      </c>
      <c r="C174" s="31">
        <v>7</v>
      </c>
      <c r="D174" s="35" t="s">
        <v>276</v>
      </c>
      <c r="E174" s="35" t="s">
        <v>277</v>
      </c>
      <c r="F174" s="31">
        <v>3</v>
      </c>
      <c r="G174" s="31">
        <v>800</v>
      </c>
      <c r="H174" s="32">
        <v>12</v>
      </c>
      <c r="I174" s="33">
        <v>12</v>
      </c>
      <c r="J174" s="11">
        <f>$J$4</f>
        <v>2.32</v>
      </c>
      <c r="K174" s="31">
        <v>15</v>
      </c>
      <c r="L174" s="13">
        <v>35</v>
      </c>
      <c r="M174" s="13">
        <v>27</v>
      </c>
      <c r="N174" s="13">
        <v>22</v>
      </c>
      <c r="O174" s="12">
        <f t="shared" si="26"/>
        <v>24.5</v>
      </c>
      <c r="P174" s="12">
        <f t="shared" si="27"/>
        <v>59.5</v>
      </c>
      <c r="Q174" s="13" t="s">
        <v>67</v>
      </c>
      <c r="R174" s="166">
        <v>0</v>
      </c>
      <c r="S174" s="34">
        <f>(F174*G174*I174*J174/10)*$J$5</f>
        <v>0</v>
      </c>
      <c r="T174" s="187">
        <v>1500</v>
      </c>
      <c r="U174" s="187">
        <f t="shared" si="28"/>
        <v>0</v>
      </c>
      <c r="V174" s="187">
        <f t="shared" si="29"/>
        <v>0</v>
      </c>
      <c r="W174" s="203">
        <v>1500</v>
      </c>
      <c r="X174" s="6"/>
    </row>
    <row r="175" spans="1:24" ht="14.25" thickBot="1">
      <c r="A175" s="87">
        <f t="shared" si="31"/>
        <v>150</v>
      </c>
      <c r="B175" s="292">
        <v>4</v>
      </c>
      <c r="C175" s="31">
        <v>7</v>
      </c>
      <c r="D175" s="35" t="s">
        <v>278</v>
      </c>
      <c r="E175" s="35" t="s">
        <v>279</v>
      </c>
      <c r="F175" s="31">
        <v>6</v>
      </c>
      <c r="G175" s="31">
        <v>1200</v>
      </c>
      <c r="H175" s="32">
        <v>35</v>
      </c>
      <c r="I175" s="33">
        <v>20</v>
      </c>
      <c r="J175" s="11">
        <f>$J$4</f>
        <v>2.32</v>
      </c>
      <c r="K175" s="31">
        <v>50</v>
      </c>
      <c r="L175" s="13">
        <v>35</v>
      </c>
      <c r="M175" s="13">
        <v>25</v>
      </c>
      <c r="N175" s="13">
        <v>20</v>
      </c>
      <c r="O175" s="12">
        <f t="shared" si="26"/>
        <v>22.5</v>
      </c>
      <c r="P175" s="12">
        <f t="shared" si="27"/>
        <v>57.5</v>
      </c>
      <c r="Q175" s="13" t="s">
        <v>67</v>
      </c>
      <c r="R175" s="166">
        <v>7344</v>
      </c>
      <c r="S175" s="34">
        <f>(4*1000*I175*J175/10)*$J$5</f>
        <v>0</v>
      </c>
      <c r="T175" s="187">
        <v>10000</v>
      </c>
      <c r="U175" s="187">
        <f t="shared" si="28"/>
        <v>7344</v>
      </c>
      <c r="V175" s="187">
        <f t="shared" si="29"/>
        <v>7344</v>
      </c>
      <c r="W175" s="203">
        <v>9280</v>
      </c>
      <c r="X175" s="6"/>
    </row>
    <row r="176" spans="1:25" ht="24.75" thickBot="1">
      <c r="A176" s="87">
        <f t="shared" si="31"/>
        <v>151</v>
      </c>
      <c r="B176" s="292">
        <v>125</v>
      </c>
      <c r="C176" s="31">
        <v>7</v>
      </c>
      <c r="D176" s="35" t="s">
        <v>280</v>
      </c>
      <c r="E176" s="101" t="s">
        <v>281</v>
      </c>
      <c r="F176" s="113">
        <v>1</v>
      </c>
      <c r="G176" s="113">
        <v>500</v>
      </c>
      <c r="H176" s="114">
        <v>45</v>
      </c>
      <c r="I176" s="115">
        <v>40</v>
      </c>
      <c r="J176" s="116">
        <f>$J$4</f>
        <v>2.32</v>
      </c>
      <c r="K176" s="113">
        <v>25</v>
      </c>
      <c r="L176" s="60">
        <v>30</v>
      </c>
      <c r="M176" s="60">
        <v>17</v>
      </c>
      <c r="N176" s="60">
        <v>22</v>
      </c>
      <c r="O176" s="62">
        <f t="shared" si="26"/>
        <v>19.5</v>
      </c>
      <c r="P176" s="117">
        <v>50</v>
      </c>
      <c r="Q176" s="118" t="s">
        <v>67</v>
      </c>
      <c r="R176" s="167">
        <f>500000/239.64</f>
        <v>2086.463027875146</v>
      </c>
      <c r="S176" s="63">
        <v>4640</v>
      </c>
      <c r="T176" s="200">
        <v>12000</v>
      </c>
      <c r="U176" s="200">
        <v>4640</v>
      </c>
      <c r="V176" s="200">
        <f t="shared" si="29"/>
        <v>4640</v>
      </c>
      <c r="W176" s="201">
        <v>4640</v>
      </c>
      <c r="X176" s="6"/>
      <c r="Y176" s="127"/>
    </row>
    <row r="177" spans="1:24" ht="19.5" thickBot="1">
      <c r="A177" s="87">
        <f t="shared" si="31"/>
        <v>152</v>
      </c>
      <c r="B177" s="299">
        <v>68</v>
      </c>
      <c r="C177" s="9"/>
      <c r="D177" s="52"/>
      <c r="E177" s="9"/>
      <c r="F177" s="9"/>
      <c r="G177" s="9"/>
      <c r="H177" s="15"/>
      <c r="I177" s="16"/>
      <c r="J177" s="11"/>
      <c r="K177" s="9"/>
      <c r="L177" s="13"/>
      <c r="M177" s="13"/>
      <c r="N177" s="13"/>
      <c r="O177" s="12"/>
      <c r="P177" s="13"/>
      <c r="Q177" s="58" t="s">
        <v>71</v>
      </c>
      <c r="R177" s="170"/>
      <c r="S177" s="38"/>
      <c r="T177" s="188"/>
      <c r="U177" s="188"/>
      <c r="V177" s="188"/>
      <c r="W177" s="202">
        <f>SUM(W161:W176)</f>
        <v>167754.31842430314</v>
      </c>
      <c r="X177" s="6"/>
    </row>
    <row r="178" spans="1:24" ht="14.25" thickBot="1">
      <c r="A178" s="87">
        <f t="shared" si="31"/>
        <v>153</v>
      </c>
      <c r="B178" s="288"/>
      <c r="C178" s="9"/>
      <c r="D178" s="51" t="s">
        <v>296</v>
      </c>
      <c r="E178" s="9"/>
      <c r="F178" s="9"/>
      <c r="G178" s="9"/>
      <c r="H178" s="15"/>
      <c r="I178" s="16"/>
      <c r="J178" s="11"/>
      <c r="K178" s="9"/>
      <c r="L178" s="13"/>
      <c r="M178" s="13"/>
      <c r="N178" s="13"/>
      <c r="O178" s="12"/>
      <c r="P178" s="13"/>
      <c r="Q178" s="59"/>
      <c r="R178" s="166"/>
      <c r="S178" s="14"/>
      <c r="T178" s="181"/>
      <c r="U178" s="181"/>
      <c r="V178" s="181"/>
      <c r="W178" s="182"/>
      <c r="X178" s="6"/>
    </row>
    <row r="179" spans="1:24" ht="17.25" thickBot="1">
      <c r="A179" s="87">
        <f t="shared" si="31"/>
        <v>154</v>
      </c>
      <c r="B179" s="288"/>
      <c r="C179" s="9"/>
      <c r="D179" s="51"/>
      <c r="E179" s="9"/>
      <c r="F179" s="9"/>
      <c r="G179" s="9"/>
      <c r="H179" s="15"/>
      <c r="I179" s="16"/>
      <c r="J179" s="11"/>
      <c r="K179" s="9"/>
      <c r="L179" s="13"/>
      <c r="M179" s="13"/>
      <c r="N179" s="13"/>
      <c r="O179" s="12"/>
      <c r="P179" s="13"/>
      <c r="Q179" s="221" t="s">
        <v>284</v>
      </c>
      <c r="R179" s="166"/>
      <c r="S179" s="14"/>
      <c r="T179" s="181"/>
      <c r="U179" s="181"/>
      <c r="V179" s="181"/>
      <c r="W179" s="225">
        <f>SUM(W165:W176)</f>
        <v>106508.83842430313</v>
      </c>
      <c r="X179" s="6"/>
    </row>
    <row r="180" spans="1:24" ht="33.75" thickBot="1">
      <c r="A180" s="282"/>
      <c r="B180" s="300"/>
      <c r="C180" s="214"/>
      <c r="D180" s="215"/>
      <c r="E180" s="216"/>
      <c r="F180" s="214"/>
      <c r="G180" s="214"/>
      <c r="H180" s="217"/>
      <c r="I180" s="218"/>
      <c r="J180" s="219"/>
      <c r="K180" s="214"/>
      <c r="L180" s="214"/>
      <c r="M180" s="214"/>
      <c r="N180" s="214"/>
      <c r="O180" s="220"/>
      <c r="P180" s="254"/>
      <c r="Q180" s="253"/>
      <c r="R180" s="222">
        <v>61245.48</v>
      </c>
      <c r="S180" s="223"/>
      <c r="T180" s="230" t="s">
        <v>293</v>
      </c>
      <c r="U180" s="224"/>
      <c r="V180" s="255" t="s">
        <v>285</v>
      </c>
      <c r="W180" s="64"/>
      <c r="X180" s="6"/>
    </row>
    <row r="181" spans="1:24" ht="19.5" customHeight="1">
      <c r="A181" s="161"/>
      <c r="B181" s="132"/>
      <c r="C181" s="132"/>
      <c r="D181" s="131"/>
      <c r="E181" s="75"/>
      <c r="F181" s="132"/>
      <c r="G181" s="132"/>
      <c r="H181" s="132"/>
      <c r="I181" s="132"/>
      <c r="J181" s="143"/>
      <c r="K181" s="132"/>
      <c r="L181" s="132"/>
      <c r="M181" s="132"/>
      <c r="N181" s="132"/>
      <c r="O181" s="145"/>
      <c r="P181" s="144"/>
      <c r="Q181" s="129"/>
      <c r="R181" s="173"/>
      <c r="S181" s="147"/>
      <c r="T181" s="132"/>
      <c r="U181" s="132"/>
      <c r="V181" s="132"/>
      <c r="W181" s="141"/>
      <c r="X181" s="6"/>
    </row>
    <row r="182" spans="1:24" s="119" customFormat="1" ht="19.5" customHeight="1">
      <c r="A182" s="162"/>
      <c r="B182" s="133"/>
      <c r="C182" s="133"/>
      <c r="D182" s="134"/>
      <c r="E182" s="135"/>
      <c r="F182" s="133"/>
      <c r="G182" s="133"/>
      <c r="H182" s="133"/>
      <c r="I182" s="133"/>
      <c r="J182" s="136"/>
      <c r="K182" s="133"/>
      <c r="L182" s="133"/>
      <c r="M182" s="133"/>
      <c r="N182" s="133"/>
      <c r="O182" s="137"/>
      <c r="P182" s="138"/>
      <c r="Q182" s="139"/>
      <c r="R182" s="174"/>
      <c r="S182" s="140"/>
      <c r="T182" s="133"/>
      <c r="U182" s="133"/>
      <c r="V182" s="133"/>
      <c r="W182" s="141"/>
      <c r="X182" s="142"/>
    </row>
    <row r="183" spans="1:26" ht="37.5" customHeight="1">
      <c r="A183" s="161"/>
      <c r="B183" s="132"/>
      <c r="C183" s="132"/>
      <c r="D183" s="132"/>
      <c r="E183" s="132"/>
      <c r="F183" s="132"/>
      <c r="G183" s="132"/>
      <c r="H183" s="132"/>
      <c r="I183" s="132"/>
      <c r="J183" s="143"/>
      <c r="K183" s="132"/>
      <c r="L183" s="144"/>
      <c r="M183" s="144"/>
      <c r="N183" s="144"/>
      <c r="O183" s="145"/>
      <c r="P183" s="144"/>
      <c r="Q183" s="146"/>
      <c r="R183" s="173"/>
      <c r="S183" s="147"/>
      <c r="T183" s="132"/>
      <c r="U183" s="132"/>
      <c r="V183" s="132"/>
      <c r="W183" s="132"/>
      <c r="X183" s="128"/>
      <c r="Z183" s="75"/>
    </row>
    <row r="184" spans="1:24" ht="34.5" customHeight="1">
      <c r="A184" s="161"/>
      <c r="B184" s="120"/>
      <c r="C184" s="132"/>
      <c r="D184" s="132"/>
      <c r="E184" s="132"/>
      <c r="F184" s="132"/>
      <c r="G184" s="132"/>
      <c r="H184" s="132"/>
      <c r="I184" s="132"/>
      <c r="J184" s="143"/>
      <c r="K184" s="132"/>
      <c r="L184" s="144"/>
      <c r="M184" s="144"/>
      <c r="N184" s="144"/>
      <c r="O184" s="145"/>
      <c r="P184" s="144"/>
      <c r="Q184" s="148"/>
      <c r="R184" s="175"/>
      <c r="S184" s="149"/>
      <c r="T184" s="150"/>
      <c r="U184" s="150"/>
      <c r="V184" s="150"/>
      <c r="W184" s="151"/>
      <c r="X184" s="128"/>
    </row>
    <row r="185" spans="1:24" ht="19.5" customHeight="1">
      <c r="A185" s="161"/>
      <c r="B185" s="120"/>
      <c r="C185" s="132"/>
      <c r="D185" s="132"/>
      <c r="E185" s="132"/>
      <c r="F185" s="132"/>
      <c r="G185" s="132"/>
      <c r="H185" s="132"/>
      <c r="I185" s="132"/>
      <c r="J185" s="143"/>
      <c r="K185" s="132"/>
      <c r="L185" s="144"/>
      <c r="M185" s="144"/>
      <c r="N185" s="144"/>
      <c r="O185" s="145"/>
      <c r="P185" s="144"/>
      <c r="Q185" s="146"/>
      <c r="R185" s="151"/>
      <c r="S185" s="152"/>
      <c r="T185" s="153"/>
      <c r="U185" s="153"/>
      <c r="V185" s="153"/>
      <c r="W185" s="130"/>
      <c r="X185" s="128"/>
    </row>
    <row r="186" spans="1:24" ht="24" customHeight="1">
      <c r="A186" s="161"/>
      <c r="B186" s="120"/>
      <c r="C186" s="132"/>
      <c r="D186" s="132"/>
      <c r="E186" s="132"/>
      <c r="F186" s="132"/>
      <c r="G186" s="132"/>
      <c r="H186" s="132"/>
      <c r="I186" s="132"/>
      <c r="J186" s="143"/>
      <c r="K186" s="132"/>
      <c r="L186" s="144"/>
      <c r="M186" s="144"/>
      <c r="N186" s="144"/>
      <c r="O186" s="145"/>
      <c r="P186" s="144"/>
      <c r="Q186" s="146"/>
      <c r="R186" s="151"/>
      <c r="S186" s="152"/>
      <c r="T186" s="153"/>
      <c r="U186" s="153"/>
      <c r="V186" s="153"/>
      <c r="W186" s="130"/>
      <c r="X186" s="128"/>
    </row>
    <row r="187" spans="1:24" ht="19.5" customHeight="1">
      <c r="A187" s="161"/>
      <c r="B187" s="120"/>
      <c r="C187" s="132"/>
      <c r="D187" s="132"/>
      <c r="E187" s="132"/>
      <c r="F187" s="132"/>
      <c r="G187" s="132"/>
      <c r="H187" s="132"/>
      <c r="I187" s="132"/>
      <c r="J187" s="143"/>
      <c r="K187" s="132"/>
      <c r="L187" s="144"/>
      <c r="M187" s="144"/>
      <c r="N187" s="144"/>
      <c r="O187" s="145"/>
      <c r="P187" s="144"/>
      <c r="Q187" s="148"/>
      <c r="R187" s="175"/>
      <c r="S187" s="152"/>
      <c r="T187" s="151"/>
      <c r="U187" s="151"/>
      <c r="V187" s="151"/>
      <c r="W187" s="154"/>
      <c r="X187" s="128"/>
    </row>
    <row r="188" spans="1:24" ht="22.5" customHeight="1">
      <c r="A188" s="161"/>
      <c r="B188" s="120"/>
      <c r="C188" s="132"/>
      <c r="D188" s="132"/>
      <c r="E188" s="132"/>
      <c r="F188" s="132"/>
      <c r="G188" s="132"/>
      <c r="H188" s="132"/>
      <c r="I188" s="132"/>
      <c r="J188" s="143"/>
      <c r="K188" s="132"/>
      <c r="L188" s="144"/>
      <c r="M188" s="144"/>
      <c r="N188" s="144"/>
      <c r="O188" s="145"/>
      <c r="P188" s="144"/>
      <c r="Q188" s="144"/>
      <c r="R188" s="176"/>
      <c r="S188" s="147"/>
      <c r="T188" s="155"/>
      <c r="U188" s="155"/>
      <c r="V188" s="155"/>
      <c r="W188" s="156"/>
      <c r="X188" s="128"/>
    </row>
    <row r="189" spans="1:24" ht="74.25" customHeight="1">
      <c r="A189" s="161"/>
      <c r="B189" s="120"/>
      <c r="C189" s="132"/>
      <c r="D189" s="132"/>
      <c r="E189" s="132"/>
      <c r="F189" s="132"/>
      <c r="G189" s="132"/>
      <c r="H189" s="132"/>
      <c r="I189" s="132"/>
      <c r="J189" s="143"/>
      <c r="K189" s="132"/>
      <c r="L189" s="144"/>
      <c r="M189" s="144"/>
      <c r="N189" s="144"/>
      <c r="O189" s="145"/>
      <c r="P189" s="144"/>
      <c r="Q189" s="144"/>
      <c r="R189" s="151"/>
      <c r="S189" s="152"/>
      <c r="T189" s="157"/>
      <c r="U189" s="157"/>
      <c r="V189" s="157"/>
      <c r="W189" s="158"/>
      <c r="X189" s="128"/>
    </row>
    <row r="190" spans="1:24" ht="46.5" customHeight="1">
      <c r="A190" s="161"/>
      <c r="B190" s="120"/>
      <c r="C190" s="132"/>
      <c r="D190" s="132"/>
      <c r="E190" s="132"/>
      <c r="F190" s="132"/>
      <c r="G190" s="132"/>
      <c r="H190" s="132"/>
      <c r="I190" s="132"/>
      <c r="J190" s="143"/>
      <c r="K190" s="132"/>
      <c r="L190" s="144"/>
      <c r="M190" s="144"/>
      <c r="N190" s="144"/>
      <c r="O190" s="145"/>
      <c r="P190" s="144"/>
      <c r="Q190" s="144"/>
      <c r="R190" s="151"/>
      <c r="S190" s="152"/>
      <c r="T190" s="157"/>
      <c r="U190" s="157"/>
      <c r="V190" s="157"/>
      <c r="W190" s="159"/>
      <c r="X190" s="128"/>
    </row>
    <row r="191" spans="1:24" ht="39.75" customHeight="1">
      <c r="A191" s="161"/>
      <c r="B191" s="120"/>
      <c r="C191" s="132"/>
      <c r="D191" s="132"/>
      <c r="E191" s="132"/>
      <c r="F191" s="132"/>
      <c r="G191" s="132"/>
      <c r="H191" s="132"/>
      <c r="I191" s="132"/>
      <c r="J191" s="143"/>
      <c r="K191" s="132"/>
      <c r="L191" s="144"/>
      <c r="M191" s="144"/>
      <c r="N191" s="144"/>
      <c r="O191" s="145"/>
      <c r="P191" s="144"/>
      <c r="Q191" s="160"/>
      <c r="R191" s="177"/>
      <c r="S191" s="147"/>
      <c r="T191" s="128"/>
      <c r="U191" s="128"/>
      <c r="V191" s="128"/>
      <c r="W191" s="130"/>
      <c r="X191" s="128"/>
    </row>
  </sheetData>
  <mergeCells count="113">
    <mergeCell ref="B158:D158"/>
    <mergeCell ref="P159:P160"/>
    <mergeCell ref="Q159:Q160"/>
    <mergeCell ref="R159:R160"/>
    <mergeCell ref="W159:W160"/>
    <mergeCell ref="L159:L160"/>
    <mergeCell ref="M159:M160"/>
    <mergeCell ref="N159:N160"/>
    <mergeCell ref="O159:O160"/>
    <mergeCell ref="E159:E160"/>
    <mergeCell ref="F159:F160"/>
    <mergeCell ref="G159:G160"/>
    <mergeCell ref="J159:J160"/>
    <mergeCell ref="A159:A160"/>
    <mergeCell ref="B159:B160"/>
    <mergeCell ref="C159:C160"/>
    <mergeCell ref="D159:D160"/>
    <mergeCell ref="P110:P111"/>
    <mergeCell ref="Q110:Q111"/>
    <mergeCell ref="R110:R111"/>
    <mergeCell ref="W110:W111"/>
    <mergeCell ref="L110:L111"/>
    <mergeCell ref="M110:M111"/>
    <mergeCell ref="N110:N111"/>
    <mergeCell ref="O110:O111"/>
    <mergeCell ref="E110:E111"/>
    <mergeCell ref="F110:F111"/>
    <mergeCell ref="G110:G111"/>
    <mergeCell ref="J110:J111"/>
    <mergeCell ref="A110:A111"/>
    <mergeCell ref="B110:B111"/>
    <mergeCell ref="C110:C111"/>
    <mergeCell ref="D110:D111"/>
    <mergeCell ref="P75:P76"/>
    <mergeCell ref="Q75:Q76"/>
    <mergeCell ref="R75:R76"/>
    <mergeCell ref="W75:W76"/>
    <mergeCell ref="L75:L76"/>
    <mergeCell ref="M75:M76"/>
    <mergeCell ref="N75:N76"/>
    <mergeCell ref="O75:O76"/>
    <mergeCell ref="E75:E76"/>
    <mergeCell ref="F75:F76"/>
    <mergeCell ref="G75:G76"/>
    <mergeCell ref="J75:J76"/>
    <mergeCell ref="A75:A76"/>
    <mergeCell ref="B75:B76"/>
    <mergeCell ref="C75:C76"/>
    <mergeCell ref="D75:D76"/>
    <mergeCell ref="P61:P62"/>
    <mergeCell ref="Q61:Q62"/>
    <mergeCell ref="R61:R62"/>
    <mergeCell ref="W61:W62"/>
    <mergeCell ref="L61:L62"/>
    <mergeCell ref="M61:M62"/>
    <mergeCell ref="N61:N62"/>
    <mergeCell ref="O61:O62"/>
    <mergeCell ref="E61:E62"/>
    <mergeCell ref="F61:F62"/>
    <mergeCell ref="G61:G62"/>
    <mergeCell ref="J61:J62"/>
    <mergeCell ref="A61:A62"/>
    <mergeCell ref="B61:B62"/>
    <mergeCell ref="C61:C62"/>
    <mergeCell ref="D61:D62"/>
    <mergeCell ref="P47:P48"/>
    <mergeCell ref="Q47:Q48"/>
    <mergeCell ref="R47:R48"/>
    <mergeCell ref="W47:W48"/>
    <mergeCell ref="L47:L48"/>
    <mergeCell ref="M47:M48"/>
    <mergeCell ref="N47:N48"/>
    <mergeCell ref="O47:O48"/>
    <mergeCell ref="E47:E48"/>
    <mergeCell ref="F47:F48"/>
    <mergeCell ref="G47:G48"/>
    <mergeCell ref="J47:J48"/>
    <mergeCell ref="A47:A48"/>
    <mergeCell ref="B47:B48"/>
    <mergeCell ref="C47:C48"/>
    <mergeCell ref="D47:D48"/>
    <mergeCell ref="P28:P29"/>
    <mergeCell ref="Q28:Q29"/>
    <mergeCell ref="R28:R29"/>
    <mergeCell ref="W28:W29"/>
    <mergeCell ref="L28:L29"/>
    <mergeCell ref="M28:M29"/>
    <mergeCell ref="N28:N29"/>
    <mergeCell ref="O28:O29"/>
    <mergeCell ref="E28:E29"/>
    <mergeCell ref="F28:F29"/>
    <mergeCell ref="G28:G29"/>
    <mergeCell ref="J28:J29"/>
    <mergeCell ref="A28:A29"/>
    <mergeCell ref="B28:B29"/>
    <mergeCell ref="C28:C29"/>
    <mergeCell ref="D28:D29"/>
    <mergeCell ref="P7:P8"/>
    <mergeCell ref="Q7:Q8"/>
    <mergeCell ref="R7:R8"/>
    <mergeCell ref="W7:W8"/>
    <mergeCell ref="L7:L8"/>
    <mergeCell ref="M7:M8"/>
    <mergeCell ref="N7:N8"/>
    <mergeCell ref="O7:O8"/>
    <mergeCell ref="E7:E8"/>
    <mergeCell ref="F7:F8"/>
    <mergeCell ref="G7:G8"/>
    <mergeCell ref="J7:J8"/>
    <mergeCell ref="A7:A8"/>
    <mergeCell ref="B7:B8"/>
    <mergeCell ref="C7:C8"/>
    <mergeCell ref="D7:D8"/>
  </mergeCells>
  <printOptions/>
  <pageMargins left="0.3937007874015748" right="0.75" top="0.2755905511811024" bottom="0.15748031496062992" header="0" footer="0"/>
  <pageSetup horizontalDpi="600" verticalDpi="600" orientation="landscape" paperSize="9" r:id="rId3"/>
  <rowBreaks count="6" manualBreakCount="6">
    <brk id="25" max="255" man="1"/>
    <brk id="44" max="255" man="1"/>
    <brk id="57" max="255" man="1"/>
    <brk id="72" max="255" man="1"/>
    <brk id="157" max="255" man="1"/>
    <brk id="1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Domače periodične publikacije 2009</dc:title>
  <dc:subject/>
  <dc:creator>ARRS</dc:creator>
  <cp:keywords/>
  <dc:description/>
  <cp:lastModifiedBy>Grošelj Nevenka</cp:lastModifiedBy>
  <cp:lastPrinted>2008-11-07T08:41:16Z</cp:lastPrinted>
  <dcterms:created xsi:type="dcterms:W3CDTF">2008-07-18T13:01:07Z</dcterms:created>
  <dcterms:modified xsi:type="dcterms:W3CDTF">2008-11-07T08:44:17Z</dcterms:modified>
  <cp:category/>
  <cp:version/>
  <cp:contentType/>
  <cp:contentStatus/>
</cp:coreProperties>
</file>